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workbookProtection workbookPassword="ED16" lockStructure="1"/>
  <bookViews>
    <workbookView xWindow="3180" yWindow="720" windowWidth="12520" windowHeight="7120" tabRatio="737"/>
  </bookViews>
  <sheets>
    <sheet name="Capitalization" sheetId="4" r:id="rId1"/>
    <sheet name="Construction Budget" sheetId="6" r:id="rId2"/>
    <sheet name="Rents" sheetId="1" r:id="rId3"/>
    <sheet name="Pro Forma" sheetId="3" r:id="rId4"/>
  </sheets>
  <externalReferences>
    <externalReference r:id="rId5"/>
    <externalReference r:id="rId6"/>
  </externalReferences>
  <definedNames>
    <definedName name="loan_amount">[1]Amortz!$D$5</definedName>
    <definedName name="name">'[2]S&amp;U  Yield contr current'!$B$4</definedName>
    <definedName name="payment">[1]Amortz!$D$11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4" l="1"/>
  <c r="B24" i="6"/>
  <c r="B26" i="6"/>
  <c r="B28" i="6"/>
  <c r="B22" i="6"/>
  <c r="E26" i="3"/>
  <c r="E25" i="3"/>
  <c r="E24" i="3"/>
  <c r="E23" i="3"/>
  <c r="E19" i="3"/>
  <c r="F10" i="3"/>
  <c r="D3" i="6"/>
  <c r="F25" i="3"/>
  <c r="G25" i="3"/>
  <c r="H25" i="3"/>
  <c r="I25" i="3"/>
  <c r="B19" i="6"/>
  <c r="B8" i="6"/>
  <c r="D5" i="6"/>
  <c r="D4" i="6"/>
  <c r="D8" i="6"/>
  <c r="B29" i="6"/>
  <c r="C15" i="1"/>
  <c r="E16" i="3"/>
  <c r="J3" i="6"/>
  <c r="J4" i="6"/>
  <c r="J5" i="6"/>
  <c r="H8" i="6"/>
  <c r="H17" i="6"/>
  <c r="J8" i="6"/>
  <c r="H11" i="6"/>
  <c r="H29" i="6"/>
  <c r="H13" i="6"/>
  <c r="H15" i="6"/>
  <c r="H19" i="6"/>
  <c r="G7" i="4"/>
  <c r="G9" i="4"/>
  <c r="G24" i="4"/>
  <c r="E15" i="3"/>
  <c r="H22" i="6"/>
  <c r="E30" i="3"/>
  <c r="F30" i="3"/>
  <c r="G30" i="3"/>
  <c r="H30" i="3"/>
  <c r="I30" i="3"/>
  <c r="F23" i="3"/>
  <c r="G23" i="3"/>
  <c r="H23" i="3"/>
  <c r="I23" i="3"/>
  <c r="E22" i="3"/>
  <c r="F22" i="3"/>
  <c r="G22" i="3"/>
  <c r="H22" i="3"/>
  <c r="I22" i="3"/>
  <c r="E17" i="3"/>
  <c r="F17" i="3"/>
  <c r="G17" i="3"/>
  <c r="H17" i="3"/>
  <c r="I17" i="3"/>
  <c r="E18" i="3"/>
  <c r="F18" i="3"/>
  <c r="G18" i="3"/>
  <c r="H18" i="3"/>
  <c r="I18" i="3"/>
  <c r="E21" i="3"/>
  <c r="F21" i="3"/>
  <c r="G21" i="3"/>
  <c r="H21" i="3"/>
  <c r="I21" i="3"/>
  <c r="G19" i="1"/>
  <c r="G20" i="1"/>
  <c r="E7" i="3"/>
  <c r="F7" i="3"/>
  <c r="G7" i="3"/>
  <c r="H7" i="3"/>
  <c r="I7" i="3"/>
  <c r="C20" i="1"/>
  <c r="D7" i="3"/>
  <c r="C14" i="1"/>
  <c r="D6" i="3"/>
  <c r="F6" i="1"/>
  <c r="C6" i="1"/>
  <c r="D5" i="3"/>
  <c r="E6" i="1"/>
  <c r="F20" i="1"/>
  <c r="H19" i="1"/>
  <c r="H20" i="1"/>
  <c r="F14" i="1"/>
  <c r="H13" i="1"/>
  <c r="G13" i="1"/>
  <c r="E13" i="1"/>
  <c r="H12" i="1"/>
  <c r="G12" i="1"/>
  <c r="E12" i="1"/>
  <c r="H11" i="1"/>
  <c r="G11" i="1"/>
  <c r="E11" i="1"/>
  <c r="H10" i="1"/>
  <c r="G5" i="1"/>
  <c r="G6" i="1"/>
  <c r="E5" i="3"/>
  <c r="F5" i="3"/>
  <c r="G5" i="3"/>
  <c r="H5" i="3"/>
  <c r="I5" i="3"/>
  <c r="F16" i="3"/>
  <c r="G16" i="3"/>
  <c r="H16" i="3"/>
  <c r="I16" i="3"/>
  <c r="G10" i="3"/>
  <c r="H10" i="3"/>
  <c r="I10" i="3"/>
  <c r="F26" i="3"/>
  <c r="G26" i="3"/>
  <c r="H26" i="3"/>
  <c r="I26" i="3"/>
  <c r="E20" i="3"/>
  <c r="F20" i="3"/>
  <c r="G20" i="3"/>
  <c r="H20" i="3"/>
  <c r="I20" i="3"/>
  <c r="F24" i="3"/>
  <c r="G24" i="3"/>
  <c r="H24" i="3"/>
  <c r="I24" i="3"/>
  <c r="F3" i="3"/>
  <c r="G3" i="3"/>
  <c r="H3" i="3"/>
  <c r="I3" i="3"/>
  <c r="F19" i="3"/>
  <c r="G19" i="3"/>
  <c r="H19" i="3"/>
  <c r="I19" i="3"/>
  <c r="H24" i="6"/>
  <c r="H26" i="6"/>
  <c r="H28" i="6"/>
  <c r="G33" i="4"/>
  <c r="G27" i="4"/>
  <c r="G8" i="4"/>
  <c r="E29" i="3"/>
  <c r="E28" i="3"/>
  <c r="F28" i="3"/>
  <c r="G28" i="3"/>
  <c r="H28" i="3"/>
  <c r="I28" i="3"/>
  <c r="E27" i="3"/>
  <c r="F27" i="3"/>
  <c r="G27" i="3"/>
  <c r="H27" i="3"/>
  <c r="I27" i="3"/>
  <c r="G15" i="4"/>
  <c r="F15" i="3"/>
  <c r="G15" i="3"/>
  <c r="H15" i="3"/>
  <c r="I15" i="3"/>
  <c r="F32" i="3"/>
  <c r="E32" i="3"/>
  <c r="I32" i="3"/>
  <c r="H32" i="3"/>
  <c r="G32" i="3"/>
  <c r="F29" i="3"/>
  <c r="G29" i="3"/>
  <c r="H29" i="3"/>
  <c r="I29" i="3"/>
  <c r="E19" i="1"/>
  <c r="E20" i="1"/>
  <c r="G10" i="1"/>
  <c r="G14" i="1"/>
  <c r="E6" i="3"/>
  <c r="E10" i="1"/>
  <c r="E14" i="1"/>
  <c r="H6" i="1"/>
  <c r="E15" i="1"/>
  <c r="F6" i="3"/>
  <c r="G6" i="3"/>
  <c r="H6" i="3"/>
  <c r="I6" i="3"/>
  <c r="E8" i="3"/>
  <c r="E31" i="3"/>
  <c r="H14" i="1"/>
  <c r="F8" i="3"/>
  <c r="F11" i="3"/>
  <c r="F12" i="3"/>
  <c r="F31" i="3"/>
  <c r="G31" i="3"/>
  <c r="H31" i="3"/>
  <c r="G8" i="3"/>
  <c r="G11" i="3"/>
  <c r="G12" i="3"/>
  <c r="E11" i="3"/>
  <c r="E12" i="3"/>
  <c r="E34" i="3"/>
  <c r="I8" i="3"/>
  <c r="H8" i="3"/>
  <c r="E35" i="3"/>
  <c r="F34" i="3"/>
  <c r="F35" i="3"/>
  <c r="F37" i="3"/>
  <c r="I31" i="3"/>
  <c r="I11" i="3"/>
  <c r="I12" i="3"/>
  <c r="G34" i="3"/>
  <c r="G35" i="3"/>
  <c r="G37" i="3"/>
  <c r="H11" i="3"/>
  <c r="H12" i="3"/>
  <c r="E37" i="3"/>
  <c r="D36" i="3"/>
  <c r="I34" i="3"/>
  <c r="I35" i="3"/>
  <c r="I37" i="3"/>
  <c r="H34" i="3"/>
  <c r="H35" i="3"/>
  <c r="H37" i="3"/>
  <c r="D37" i="3"/>
  <c r="D58" i="3"/>
  <c r="D53" i="3"/>
  <c r="D55" i="3"/>
  <c r="G13" i="4"/>
  <c r="G6" i="4"/>
  <c r="G11" i="4"/>
  <c r="D5" i="4"/>
  <c r="D6" i="4"/>
  <c r="D16" i="4"/>
  <c r="D59" i="3"/>
  <c r="D62" i="3"/>
  <c r="D47" i="3"/>
  <c r="D11" i="4"/>
  <c r="E38" i="3"/>
  <c r="I45" i="3"/>
  <c r="F40" i="3"/>
  <c r="F41" i="3"/>
  <c r="I38" i="3"/>
  <c r="G40" i="3"/>
  <c r="G41" i="3"/>
  <c r="F43" i="3"/>
  <c r="F47" i="3"/>
  <c r="G38" i="3"/>
  <c r="E40" i="3"/>
  <c r="F38" i="3"/>
  <c r="H38" i="3"/>
  <c r="H40" i="3"/>
  <c r="H41" i="3"/>
  <c r="G43" i="3"/>
  <c r="G47" i="3"/>
  <c r="E41" i="3"/>
  <c r="E43" i="3"/>
  <c r="E44" i="3"/>
  <c r="I40" i="3"/>
  <c r="I43" i="3"/>
  <c r="I47" i="3"/>
  <c r="H43" i="3"/>
  <c r="H47" i="3"/>
  <c r="E47" i="3"/>
  <c r="D48" i="3"/>
  <c r="I41" i="3"/>
</calcChain>
</file>

<file path=xl/comments1.xml><?xml version="1.0" encoding="utf-8"?>
<comments xmlns="http://schemas.openxmlformats.org/spreadsheetml/2006/main">
  <authors>
    <author>jpack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Down payment required by the bank (down payment on total project cost)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purchase price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If Variance Needed then expect costs to be $15,000 - $50,000
Depending on Size (larger than 3 units) - include costs of $1,500 - $25,000 depending on the size of the building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Get this number from public records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Choose from the "General Cap Rates" listed below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Single - Triplex = $500
Larger can be upto $5,000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Will be about $1,500 and only if doing a large construction project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Will be needed for new construction.  Can put $0 if only a rehab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Will not know if you need this until the Phase I comes back.  For now, assume $0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could be $1,500 - $5000 depending on lot size, 1500sq ft to 17,000 sq ft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Just extra fluff to put into the costs if you feel necessary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$7,000 - $100,000 depending on size of project - will not need on rehabs with "interior alteration permits"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$1,500 - $3,500 depending on size of lots (10+ units)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2%-4% of deal cost.  This is a way to pay yourself some money back - only needed when doing a partnership and you developing the project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Only needed if going to hire someone else to rent the units.  Should be equal to 1 month's rent of the total number of units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$250 - $1000 per month depending on the size of the project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Just fluff if you want to add more costs you feel may be necessary</t>
        </r>
      </text>
    </comment>
  </commentList>
</comments>
</file>

<file path=xl/comments2.xml><?xml version="1.0" encoding="utf-8"?>
<comments xmlns="http://schemas.openxmlformats.org/spreadsheetml/2006/main">
  <authors>
    <author>jpack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List existing number of units or the max number of units permitted by code - remember if you change the current use then all building codes must be brought current and will increase construction costs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$35,000 - $75,000 per unit (can use $85/ sq ft as a quick guide on costs)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$2500 - $15,000 depending on size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get from MLS or public records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10% - 15%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from public records or architect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Can have 1 units per every 360 sqft for the first 1440 sqft of the lot area + 1 unit per every additional 480 sq ft</t>
        </r>
      </text>
    </comment>
  </commentList>
</comments>
</file>

<file path=xl/comments3.xml><?xml version="1.0" encoding="utf-8"?>
<comments xmlns="http://schemas.openxmlformats.org/spreadsheetml/2006/main">
  <authors>
    <author>jpack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$250 - $500
Any legal fees incurred throughout the year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$250 - $2,500
depends on number of units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$500 - $700 for 3-10 unit buildings
$800 - $1200 for 10-40 unit buidlings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$50-$500 depending on the size of the building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$25 - $150 depending on size of the building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$190 - $250 per month for maintenance contract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 xml:space="preserve">jpack:
$300 /yr 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 xml:space="preserve">jpack:
</t>
        </r>
        <r>
          <rPr>
            <sz val="9"/>
            <color indexed="81"/>
            <rFont val="Tahoma"/>
            <family val="2"/>
          </rPr>
          <t>Can vary greatly depending on duties and frequency of the cleaning (calculated monthly)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Can vary greatly depending on snow removal, landscape, lawn maintenance, etc. input a number estimated over a year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$300 refuse fee paid to the city if using city trash removal (4 units or less).  Will have a monthly contract with a trash vendor for all larger buildings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Estimate about $350 per unit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estimate about $450 - $1000 per unit.  The calculation is assuming only turning over half of the units each yr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When building, make sure you get "cell dialers" to use on your fire alarm panels instead of 2 phone lines.  This will cost much less per month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money to save each year per unit just in case something happens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Will vary from 4% - 10% depending on size of building and unit rents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Expense ratio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estimated completed value of the property based on exit-cap rates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annual mortgage payments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needs to be 135% or higher for th bank to be satisfied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only takes year 1 into consideration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equity (money out of pocket)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Internal Rate of Return (over all return based on money out of pocket, yearly cash flow, and includes the sale of the property after year 5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jpack:</t>
        </r>
        <r>
          <rPr>
            <sz val="9"/>
            <color indexed="81"/>
            <rFont val="Tahoma"/>
            <family val="2"/>
          </rPr>
          <t xml:space="preserve">
This is the estimated maximum loan amount</t>
        </r>
      </text>
    </comment>
  </commentList>
</comments>
</file>

<file path=xl/sharedStrings.xml><?xml version="1.0" encoding="utf-8"?>
<sst xmlns="http://schemas.openxmlformats.org/spreadsheetml/2006/main" count="187" uniqueCount="134">
  <si>
    <t>Projected</t>
  </si>
  <si>
    <t>Type</t>
  </si>
  <si>
    <t>SF</t>
  </si>
  <si>
    <t>Per SF</t>
  </si>
  <si>
    <t>Management</t>
  </si>
  <si>
    <t>Insurance</t>
  </si>
  <si>
    <t>Expenses</t>
  </si>
  <si>
    <t>NOI</t>
  </si>
  <si>
    <t>Debt</t>
  </si>
  <si>
    <t>Rent Roll</t>
  </si>
  <si>
    <t>Uses</t>
  </si>
  <si>
    <t>Acquisition</t>
  </si>
  <si>
    <t>Closing Costs</t>
  </si>
  <si>
    <t>Interest Reserve</t>
  </si>
  <si>
    <t>Total Revenue</t>
  </si>
  <si>
    <t>Vacancy Rate</t>
  </si>
  <si>
    <t>Vacancy Allowance</t>
  </si>
  <si>
    <t>Taxes</t>
  </si>
  <si>
    <t>Sources</t>
  </si>
  <si>
    <t>Soft Costs</t>
  </si>
  <si>
    <t>Legal</t>
  </si>
  <si>
    <t>Title Insurance</t>
  </si>
  <si>
    <t>Appraisal</t>
  </si>
  <si>
    <t>Phase I</t>
  </si>
  <si>
    <t>Architecture</t>
  </si>
  <si>
    <t>Trash Removal</t>
  </si>
  <si>
    <t>Origination Fee</t>
  </si>
  <si>
    <t>Construction</t>
  </si>
  <si>
    <t>Cost of Sale</t>
  </si>
  <si>
    <t>Income</t>
  </si>
  <si>
    <t>Residential</t>
  </si>
  <si>
    <t>Effective Rent</t>
  </si>
  <si>
    <t>Accounting</t>
  </si>
  <si>
    <t>Sprinkler &amp; Fire Certs</t>
  </si>
  <si>
    <t>Electric</t>
  </si>
  <si>
    <t>Water and Sewer</t>
  </si>
  <si>
    <t>Janitorial</t>
  </si>
  <si>
    <t>Total Expenses</t>
  </si>
  <si>
    <t>Debt Service</t>
  </si>
  <si>
    <t>Cash Flow</t>
  </si>
  <si>
    <t>Reserves</t>
  </si>
  <si>
    <t># of Units</t>
  </si>
  <si>
    <t>Constant</t>
  </si>
  <si>
    <t>Exit Cap Rate</t>
  </si>
  <si>
    <t>DSCR</t>
  </si>
  <si>
    <t>Parking</t>
  </si>
  <si>
    <t>Leasing Commissions</t>
  </si>
  <si>
    <t>Marketing</t>
  </si>
  <si>
    <t xml:space="preserve">Totals </t>
  </si>
  <si>
    <t>Construction Financing</t>
  </si>
  <si>
    <t>Perm Loan Interest</t>
  </si>
  <si>
    <t>Total</t>
  </si>
  <si>
    <t xml:space="preserve">Permanent Financing </t>
  </si>
  <si>
    <t>Permanent Capitalization</t>
  </si>
  <si>
    <t xml:space="preserve">Sale of Property </t>
  </si>
  <si>
    <t>Total Proceeds</t>
  </si>
  <si>
    <t xml:space="preserve">   Transfer Tax</t>
  </si>
  <si>
    <t>Unlevered Yield</t>
  </si>
  <si>
    <t>Other Environmental</t>
  </si>
  <si>
    <t>Survey</t>
  </si>
  <si>
    <t xml:space="preserve">Utilities </t>
  </si>
  <si>
    <t>Other/Operating Reserve</t>
  </si>
  <si>
    <t>Lender Plan/Cost Revewi</t>
  </si>
  <si>
    <t>Misc</t>
  </si>
  <si>
    <t>Developer Fee</t>
  </si>
  <si>
    <t>5 Year Rental Pro-Forma</t>
  </si>
  <si>
    <t>Num/Units</t>
  </si>
  <si>
    <t>Totsal S/F</t>
  </si>
  <si>
    <t>Monthly Rent / unit</t>
  </si>
  <si>
    <t>Monthly Rent Total</t>
  </si>
  <si>
    <t>1 bed</t>
  </si>
  <si>
    <t>4 bed</t>
  </si>
  <si>
    <t>Commercial</t>
  </si>
  <si>
    <t>Elevator Maint</t>
  </si>
  <si>
    <t>elevator Inspection</t>
  </si>
  <si>
    <t>Licenses</t>
  </si>
  <si>
    <t>Telphone &amp; Alarm Monitoring</t>
  </si>
  <si>
    <t>Address</t>
  </si>
  <si>
    <t>Width</t>
  </si>
  <si>
    <t>Debth</t>
  </si>
  <si>
    <t>Lot Size</t>
  </si>
  <si>
    <t>coverage Area</t>
  </si>
  <si>
    <t>Buildable Area</t>
  </si>
  <si>
    <t>Number of Stories</t>
  </si>
  <si>
    <t>Total Building Size</t>
  </si>
  <si>
    <t>Parking Area</t>
  </si>
  <si>
    <t>Parking Area Cost</t>
  </si>
  <si>
    <t>Cost Per Sq Ft to Build</t>
  </si>
  <si>
    <t>total Construction Cost</t>
  </si>
  <si>
    <t>total building Size</t>
  </si>
  <si>
    <t>Common Area</t>
  </si>
  <si>
    <t>Total Rentalable space</t>
  </si>
  <si>
    <t>Commercial Space</t>
  </si>
  <si>
    <t>Residential Space</t>
  </si>
  <si>
    <t>Avg apt Size</t>
  </si>
  <si>
    <t>Number of Apartments</t>
  </si>
  <si>
    <t>Max number based on lot sq ft</t>
  </si>
  <si>
    <t>(if over this # need a variance)</t>
  </si>
  <si>
    <t>Maximum Rental Space</t>
  </si>
  <si>
    <t>If over this need to lower</t>
  </si>
  <si>
    <t>landscaping</t>
  </si>
  <si>
    <t>Cash on Cash Return</t>
  </si>
  <si>
    <t>Use Tax</t>
  </si>
  <si>
    <t>New Construction</t>
  </si>
  <si>
    <t>Re-Hab</t>
  </si>
  <si>
    <t>4701 Walnut St</t>
  </si>
  <si>
    <t># of units</t>
  </si>
  <si>
    <t>Cost Per Unit</t>
  </si>
  <si>
    <t>common Area Work</t>
  </si>
  <si>
    <t xml:space="preserve">Maintenance </t>
  </si>
  <si>
    <t>Turnover</t>
  </si>
  <si>
    <t>Permits</t>
  </si>
  <si>
    <t>2 bed</t>
  </si>
  <si>
    <t>Sudio</t>
  </si>
  <si>
    <t>Percentage Down</t>
  </si>
  <si>
    <t>Term</t>
  </si>
  <si>
    <t>General Cap Rates</t>
  </si>
  <si>
    <t>1-4 Unit building in A Location</t>
  </si>
  <si>
    <t>4-10 Unit building in A Location</t>
  </si>
  <si>
    <t>10-40 Unit building in A Location</t>
  </si>
  <si>
    <t>Geotech</t>
  </si>
  <si>
    <t>Debt Constraint</t>
  </si>
  <si>
    <t>Building Value</t>
  </si>
  <si>
    <t>Max LTV</t>
  </si>
  <si>
    <t>Max Loan Amount</t>
  </si>
  <si>
    <t>Debt Service Const</t>
  </si>
  <si>
    <t>A Location</t>
  </si>
  <si>
    <t>B Location</t>
  </si>
  <si>
    <t>C Location</t>
  </si>
  <si>
    <t>Click to view Title Insurance Rates</t>
  </si>
  <si>
    <t>IRR</t>
  </si>
  <si>
    <t>Max Loan Amount based on Debt Service</t>
  </si>
  <si>
    <t>Max Loan Amount based on LTV</t>
  </si>
  <si>
    <t>Existing Building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</si>
</sst>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0.0%"/>
    <numFmt numFmtId="170" formatCode="_(&quot;$&quot;* #,##0.000_);_(&quot;$&quot;* \(#,##0.000\);_(&quot;$&quot;* &quot;-&quot;??_);_(@_)"/>
    <numFmt numFmtId="171" formatCode="0.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Times"/>
      <family val="1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sz val="14"/>
      <color indexed="8"/>
      <name val="Times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3" fillId="0" borderId="0" xfId="0" applyFont="1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8" fontId="0" fillId="0" borderId="0" xfId="0" applyNumberFormat="1"/>
    <xf numFmtId="9" fontId="4" fillId="0" borderId="0" xfId="3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7" fontId="1" fillId="0" borderId="3" xfId="1" applyNumberFormat="1" applyFont="1" applyBorder="1" applyAlignment="1">
      <alignment horizontal="center"/>
    </xf>
    <xf numFmtId="0" fontId="3" fillId="0" borderId="4" xfId="0" applyFont="1" applyBorder="1" applyAlignment="1"/>
    <xf numFmtId="168" fontId="4" fillId="0" borderId="0" xfId="2" applyNumberFormat="1" applyFont="1" applyBorder="1" applyAlignment="1">
      <alignment horizontal="center"/>
    </xf>
    <xf numFmtId="167" fontId="1" fillId="0" borderId="0" xfId="1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 indent="1"/>
    </xf>
    <xf numFmtId="168" fontId="4" fillId="0" borderId="0" xfId="2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2" xfId="0" applyFont="1" applyBorder="1" applyAlignment="1">
      <alignment horizontal="center"/>
    </xf>
    <xf numFmtId="168" fontId="0" fillId="0" borderId="0" xfId="2" applyNumberFormat="1" applyFont="1"/>
    <xf numFmtId="0" fontId="3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8" fontId="10" fillId="0" borderId="0" xfId="2" applyNumberFormat="1" applyFont="1" applyBorder="1"/>
    <xf numFmtId="165" fontId="3" fillId="0" borderId="0" xfId="2" applyFont="1" applyBorder="1"/>
    <xf numFmtId="168" fontId="11" fillId="0" borderId="0" xfId="2" applyNumberFormat="1" applyFont="1" applyBorder="1"/>
    <xf numFmtId="165" fontId="10" fillId="0" borderId="0" xfId="0" applyNumberFormat="1" applyFont="1" applyFill="1" applyBorder="1"/>
    <xf numFmtId="165" fontId="10" fillId="0" borderId="0" xfId="2" applyFont="1" applyBorder="1"/>
    <xf numFmtId="165" fontId="3" fillId="0" borderId="0" xfId="0" applyNumberFormat="1" applyFont="1" applyBorder="1"/>
    <xf numFmtId="168" fontId="10" fillId="0" borderId="0" xfId="0" applyNumberFormat="1" applyFont="1" applyBorder="1"/>
    <xf numFmtId="168" fontId="3" fillId="0" borderId="0" xfId="2" applyNumberFormat="1" applyFont="1" applyBorder="1"/>
    <xf numFmtId="165" fontId="10" fillId="0" borderId="0" xfId="2" applyFont="1" applyBorder="1" applyAlignment="1">
      <alignment horizontal="center"/>
    </xf>
    <xf numFmtId="168" fontId="11" fillId="0" borderId="0" xfId="2" applyNumberFormat="1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/>
    <xf numFmtId="170" fontId="3" fillId="0" borderId="0" xfId="2" applyNumberFormat="1" applyFont="1" applyBorder="1"/>
    <xf numFmtId="169" fontId="3" fillId="0" borderId="0" xfId="3" applyNumberFormat="1" applyFont="1" applyBorder="1" applyAlignment="1">
      <alignment horizontal="center"/>
    </xf>
    <xf numFmtId="168" fontId="3" fillId="0" borderId="0" xfId="0" applyNumberFormat="1" applyFont="1" applyBorder="1"/>
    <xf numFmtId="0" fontId="3" fillId="0" borderId="0" xfId="0" applyFont="1" applyFill="1" applyBorder="1"/>
    <xf numFmtId="10" fontId="0" fillId="0" borderId="0" xfId="3" applyNumberFormat="1" applyFont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7" fillId="0" borderId="4" xfId="0" applyFont="1" applyBorder="1"/>
    <xf numFmtId="0" fontId="10" fillId="0" borderId="5" xfId="0" applyFont="1" applyBorder="1"/>
    <xf numFmtId="168" fontId="10" fillId="0" borderId="5" xfId="2" applyNumberFormat="1" applyFont="1" applyBorder="1"/>
    <xf numFmtId="165" fontId="10" fillId="0" borderId="5" xfId="2" applyFont="1" applyBorder="1"/>
    <xf numFmtId="9" fontId="10" fillId="0" borderId="5" xfId="0" applyNumberFormat="1" applyFont="1" applyBorder="1" applyAlignment="1">
      <alignment horizontal="center"/>
    </xf>
    <xf numFmtId="168" fontId="10" fillId="0" borderId="5" xfId="0" applyNumberFormat="1" applyFont="1" applyBorder="1"/>
    <xf numFmtId="168" fontId="3" fillId="0" borderId="5" xfId="2" applyNumberFormat="1" applyFont="1" applyBorder="1"/>
    <xf numFmtId="165" fontId="10" fillId="0" borderId="5" xfId="0" applyNumberFormat="1" applyFont="1" applyBorder="1"/>
    <xf numFmtId="0" fontId="2" fillId="0" borderId="4" xfId="0" applyFont="1" applyBorder="1"/>
    <xf numFmtId="169" fontId="3" fillId="0" borderId="5" xfId="3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9" fontId="3" fillId="0" borderId="0" xfId="3" applyFont="1" applyBorder="1" applyAlignment="1">
      <alignment horizontal="center"/>
    </xf>
    <xf numFmtId="9" fontId="3" fillId="0" borderId="5" xfId="3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171" fontId="2" fillId="0" borderId="10" xfId="0" applyNumberFormat="1" applyFont="1" applyBorder="1" applyAlignment="1">
      <alignment horizontal="center"/>
    </xf>
    <xf numFmtId="165" fontId="0" fillId="0" borderId="0" xfId="0" applyNumberFormat="1"/>
    <xf numFmtId="168" fontId="1" fillId="0" borderId="0" xfId="2" applyNumberFormat="1" applyFont="1" applyFill="1" applyBorder="1"/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7" fontId="4" fillId="0" borderId="9" xfId="1" applyNumberFormat="1" applyFont="1" applyBorder="1" applyAlignment="1">
      <alignment horizontal="center"/>
    </xf>
    <xf numFmtId="167" fontId="1" fillId="0" borderId="9" xfId="1" applyNumberFormat="1" applyFont="1" applyBorder="1" applyAlignment="1">
      <alignment horizontal="left"/>
    </xf>
    <xf numFmtId="168" fontId="0" fillId="0" borderId="0" xfId="2" applyNumberFormat="1" applyFont="1" applyBorder="1"/>
    <xf numFmtId="0" fontId="1" fillId="0" borderId="0" xfId="0" applyFont="1" applyBorder="1"/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5" xfId="2" applyFont="1" applyBorder="1" applyAlignment="1">
      <alignment horizontal="center"/>
    </xf>
    <xf numFmtId="168" fontId="13" fillId="0" borderId="0" xfId="2" applyNumberFormat="1" applyFont="1" applyBorder="1"/>
    <xf numFmtId="168" fontId="1" fillId="0" borderId="10" xfId="2" applyNumberFormat="1" applyFont="1" applyBorder="1" applyAlignment="1">
      <alignment horizontal="center"/>
    </xf>
    <xf numFmtId="0" fontId="1" fillId="0" borderId="0" xfId="0" applyFont="1"/>
    <xf numFmtId="10" fontId="4" fillId="0" borderId="0" xfId="3" applyNumberFormat="1" applyFont="1" applyAlignment="1">
      <alignment horizontal="center"/>
    </xf>
    <xf numFmtId="168" fontId="10" fillId="0" borderId="14" xfId="2" applyNumberFormat="1" applyFont="1" applyBorder="1"/>
    <xf numFmtId="167" fontId="1" fillId="0" borderId="0" xfId="1" applyNumberFormat="1" applyFont="1" applyFill="1" applyBorder="1" applyAlignment="1">
      <alignment horizontal="left"/>
    </xf>
    <xf numFmtId="166" fontId="0" fillId="0" borderId="0" xfId="0" applyNumberFormat="1"/>
    <xf numFmtId="168" fontId="1" fillId="0" borderId="0" xfId="2" applyNumberFormat="1" applyFont="1" applyBorder="1"/>
    <xf numFmtId="0" fontId="1" fillId="0" borderId="0" xfId="0" applyFont="1" applyAlignment="1">
      <alignment horizontal="left" indent="1"/>
    </xf>
    <xf numFmtId="168" fontId="3" fillId="0" borderId="0" xfId="2" applyNumberFormat="1" applyFont="1" applyBorder="1" applyAlignment="1">
      <alignment horizontal="center"/>
    </xf>
    <xf numFmtId="168" fontId="10" fillId="0" borderId="14" xfId="0" applyNumberFormat="1" applyFont="1" applyBorder="1"/>
    <xf numFmtId="168" fontId="10" fillId="0" borderId="15" xfId="0" applyNumberFormat="1" applyFont="1" applyBorder="1"/>
    <xf numFmtId="168" fontId="3" fillId="0" borderId="14" xfId="2" applyNumberFormat="1" applyFont="1" applyBorder="1"/>
    <xf numFmtId="0" fontId="1" fillId="0" borderId="0" xfId="0" applyFont="1" applyAlignment="1">
      <alignment horizontal="center"/>
    </xf>
    <xf numFmtId="168" fontId="3" fillId="0" borderId="5" xfId="0" applyNumberFormat="1" applyFont="1" applyBorder="1"/>
    <xf numFmtId="9" fontId="3" fillId="0" borderId="0" xfId="3" applyFont="1" applyBorder="1"/>
    <xf numFmtId="167" fontId="4" fillId="0" borderId="0" xfId="1" applyNumberFormat="1" applyFont="1" applyBorder="1" applyAlignment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167" fontId="4" fillId="4" borderId="21" xfId="1" applyNumberFormat="1" applyFont="1" applyFill="1" applyBorder="1" applyAlignment="1">
      <alignment horizontal="center"/>
    </xf>
    <xf numFmtId="168" fontId="4" fillId="4" borderId="21" xfId="2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167" fontId="4" fillId="0" borderId="6" xfId="1" applyNumberFormat="1" applyFont="1" applyBorder="1" applyAlignment="1">
      <alignment horizontal="center"/>
    </xf>
    <xf numFmtId="168" fontId="4" fillId="0" borderId="6" xfId="2" applyNumberFormat="1" applyFont="1" applyBorder="1" applyAlignment="1">
      <alignment horizontal="center"/>
    </xf>
    <xf numFmtId="165" fontId="1" fillId="0" borderId="27" xfId="2" applyFont="1" applyBorder="1" applyAlignment="1">
      <alignment horizontal="center"/>
    </xf>
    <xf numFmtId="167" fontId="4" fillId="0" borderId="7" xfId="1" applyNumberFormat="1" applyFont="1" applyBorder="1" applyAlignment="1">
      <alignment horizontal="center"/>
    </xf>
    <xf numFmtId="168" fontId="4" fillId="0" borderId="7" xfId="2" applyNumberFormat="1" applyFont="1" applyBorder="1" applyAlignment="1">
      <alignment horizontal="center"/>
    </xf>
    <xf numFmtId="165" fontId="1" fillId="0" borderId="28" xfId="2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67" fontId="4" fillId="0" borderId="29" xfId="1" applyNumberFormat="1" applyFont="1" applyBorder="1" applyAlignment="1">
      <alignment horizontal="center"/>
    </xf>
    <xf numFmtId="168" fontId="4" fillId="0" borderId="29" xfId="2" applyNumberFormat="1" applyFont="1" applyBorder="1" applyAlignment="1">
      <alignment horizontal="center"/>
    </xf>
    <xf numFmtId="165" fontId="1" fillId="0" borderId="30" xfId="2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/>
    <xf numFmtId="167" fontId="2" fillId="2" borderId="18" xfId="0" applyNumberFormat="1" applyFont="1" applyFill="1" applyBorder="1"/>
    <xf numFmtId="168" fontId="2" fillId="2" borderId="18" xfId="0" applyNumberFormat="1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/>
    <xf numFmtId="167" fontId="2" fillId="2" borderId="12" xfId="1" applyNumberFormat="1" applyFont="1" applyFill="1" applyBorder="1"/>
    <xf numFmtId="168" fontId="2" fillId="2" borderId="12" xfId="0" applyNumberFormat="1" applyFont="1" applyFill="1" applyBorder="1"/>
    <xf numFmtId="0" fontId="1" fillId="0" borderId="9" xfId="0" applyFont="1" applyBorder="1" applyAlignment="1">
      <alignment horizontal="center"/>
    </xf>
    <xf numFmtId="168" fontId="4" fillId="0" borderId="9" xfId="2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2" fontId="2" fillId="2" borderId="19" xfId="0" applyNumberFormat="1" applyFont="1" applyFill="1" applyBorder="1"/>
    <xf numFmtId="167" fontId="2" fillId="2" borderId="22" xfId="1" applyNumberFormat="1" applyFont="1" applyFill="1" applyBorder="1" applyAlignment="1">
      <alignment horizontal="center"/>
    </xf>
    <xf numFmtId="165" fontId="1" fillId="4" borderId="22" xfId="2" applyFont="1" applyFill="1" applyBorder="1" applyAlignment="1">
      <alignment horizontal="center"/>
    </xf>
    <xf numFmtId="165" fontId="2" fillId="2" borderId="13" xfId="0" applyNumberFormat="1" applyFont="1" applyFill="1" applyBorder="1"/>
    <xf numFmtId="9" fontId="10" fillId="0" borderId="0" xfId="3" applyFont="1" applyBorder="1" applyAlignment="1">
      <alignment horizontal="center"/>
    </xf>
    <xf numFmtId="165" fontId="4" fillId="0" borderId="0" xfId="2" applyFont="1" applyFill="1" applyBorder="1" applyAlignment="1">
      <alignment horizontal="center"/>
    </xf>
    <xf numFmtId="165" fontId="14" fillId="0" borderId="0" xfId="2" applyFont="1" applyBorder="1" applyAlignment="1">
      <alignment horizontal="center"/>
    </xf>
    <xf numFmtId="165" fontId="14" fillId="0" borderId="0" xfId="2" applyFont="1" applyFill="1" applyBorder="1" applyAlignment="1">
      <alignment horizontal="center"/>
    </xf>
    <xf numFmtId="10" fontId="14" fillId="0" borderId="0" xfId="2" applyNumberFormat="1" applyFont="1" applyBorder="1" applyAlignment="1">
      <alignment horizontal="center"/>
    </xf>
    <xf numFmtId="9" fontId="4" fillId="0" borderId="0" xfId="2" applyNumberFormat="1" applyFont="1" applyFill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168" fontId="1" fillId="0" borderId="0" xfId="2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9" fontId="1" fillId="0" borderId="0" xfId="0" applyNumberFormat="1" applyFont="1" applyBorder="1" applyAlignment="1">
      <alignment horizontal="center"/>
    </xf>
    <xf numFmtId="0" fontId="17" fillId="0" borderId="7" xfId="0" applyFont="1" applyBorder="1"/>
    <xf numFmtId="0" fontId="17" fillId="0" borderId="6" xfId="0" applyFont="1" applyBorder="1"/>
    <xf numFmtId="167" fontId="17" fillId="0" borderId="6" xfId="1" applyNumberFormat="1" applyFont="1" applyBorder="1"/>
    <xf numFmtId="0" fontId="18" fillId="0" borderId="6" xfId="0" applyFont="1" applyBorder="1"/>
    <xf numFmtId="0" fontId="19" fillId="3" borderId="6" xfId="0" applyFont="1" applyFill="1" applyBorder="1"/>
    <xf numFmtId="167" fontId="19" fillId="3" borderId="6" xfId="1" applyNumberFormat="1" applyFont="1" applyFill="1" applyBorder="1"/>
    <xf numFmtId="0" fontId="17" fillId="0" borderId="0" xfId="0" applyFont="1"/>
    <xf numFmtId="167" fontId="17" fillId="0" borderId="7" xfId="0" applyNumberFormat="1" applyFont="1" applyBorder="1"/>
    <xf numFmtId="9" fontId="17" fillId="0" borderId="6" xfId="0" applyNumberFormat="1" applyFont="1" applyBorder="1"/>
    <xf numFmtId="166" fontId="17" fillId="0" borderId="6" xfId="0" applyNumberFormat="1" applyFont="1" applyBorder="1"/>
    <xf numFmtId="166" fontId="17" fillId="0" borderId="6" xfId="1" applyFont="1" applyBorder="1"/>
    <xf numFmtId="165" fontId="17" fillId="0" borderId="6" xfId="0" applyNumberFormat="1" applyFont="1" applyBorder="1"/>
    <xf numFmtId="3" fontId="17" fillId="0" borderId="0" xfId="0" applyNumberFormat="1" applyFont="1"/>
    <xf numFmtId="166" fontId="17" fillId="0" borderId="7" xfId="0" applyNumberFormat="1" applyFont="1" applyBorder="1"/>
    <xf numFmtId="2" fontId="17" fillId="0" borderId="6" xfId="0" applyNumberFormat="1" applyFont="1" applyBorder="1"/>
    <xf numFmtId="0" fontId="17" fillId="0" borderId="6" xfId="0" applyFont="1" applyBorder="1" applyAlignment="1">
      <alignment horizontal="right"/>
    </xf>
    <xf numFmtId="0" fontId="1" fillId="0" borderId="31" xfId="0" applyFont="1" applyFill="1" applyBorder="1" applyAlignment="1">
      <alignment horizontal="center"/>
    </xf>
    <xf numFmtId="166" fontId="0" fillId="5" borderId="0" xfId="0" applyNumberFormat="1" applyFill="1"/>
    <xf numFmtId="0" fontId="0" fillId="5" borderId="0" xfId="0" applyFill="1"/>
    <xf numFmtId="10" fontId="4" fillId="0" borderId="9" xfId="3" applyNumberFormat="1" applyFont="1" applyBorder="1" applyAlignment="1">
      <alignment horizontal="center"/>
    </xf>
    <xf numFmtId="167" fontId="0" fillId="5" borderId="0" xfId="0" applyNumberFormat="1" applyFill="1"/>
    <xf numFmtId="168" fontId="10" fillId="0" borderId="0" xfId="0" applyNumberFormat="1" applyFont="1" applyFill="1" applyBorder="1"/>
    <xf numFmtId="168" fontId="10" fillId="0" borderId="15" xfId="2" applyNumberFormat="1" applyFont="1" applyBorder="1"/>
    <xf numFmtId="0" fontId="15" fillId="3" borderId="11" xfId="0" applyFont="1" applyFill="1" applyBorder="1" applyAlignment="1">
      <alignment horizontal="center"/>
    </xf>
    <xf numFmtId="0" fontId="16" fillId="3" borderId="12" xfId="0" applyFont="1" applyFill="1" applyBorder="1" applyAlignment="1"/>
    <xf numFmtId="0" fontId="16" fillId="3" borderId="13" xfId="0" applyFont="1" applyFill="1" applyBorder="1" applyAlignment="1"/>
    <xf numFmtId="0" fontId="1" fillId="0" borderId="4" xfId="0" applyFont="1" applyBorder="1" applyAlignment="1"/>
    <xf numFmtId="0" fontId="2" fillId="0" borderId="9" xfId="0" applyFont="1" applyBorder="1" applyAlignment="1">
      <alignment horizontal="center"/>
    </xf>
    <xf numFmtId="9" fontId="3" fillId="0" borderId="0" xfId="3" applyFont="1" applyBorder="1" applyAlignment="1"/>
    <xf numFmtId="10" fontId="0" fillId="0" borderId="0" xfId="0" applyNumberFormat="1"/>
    <xf numFmtId="9" fontId="0" fillId="0" borderId="0" xfId="0" applyNumberFormat="1"/>
    <xf numFmtId="17" fontId="1" fillId="0" borderId="0" xfId="0" applyNumberFormat="1" applyFont="1"/>
    <xf numFmtId="168" fontId="1" fillId="0" borderId="0" xfId="2" applyNumberFormat="1" applyFont="1" applyAlignment="1">
      <alignment horizontal="center"/>
    </xf>
    <xf numFmtId="168" fontId="1" fillId="0" borderId="0" xfId="2" applyNumberFormat="1" applyFont="1"/>
    <xf numFmtId="0" fontId="20" fillId="5" borderId="6" xfId="0" applyFont="1" applyFill="1" applyBorder="1"/>
    <xf numFmtId="166" fontId="20" fillId="5" borderId="6" xfId="0" applyNumberFormat="1" applyFont="1" applyFill="1" applyBorder="1"/>
    <xf numFmtId="167" fontId="20" fillId="5" borderId="6" xfId="1" applyNumberFormat="1" applyFont="1" applyFill="1" applyBorder="1"/>
    <xf numFmtId="166" fontId="21" fillId="5" borderId="0" xfId="0" applyNumberFormat="1" applyFont="1" applyFill="1"/>
    <xf numFmtId="0" fontId="6" fillId="5" borderId="0" xfId="0" applyFont="1" applyFill="1"/>
    <xf numFmtId="168" fontId="1" fillId="0" borderId="0" xfId="2" applyNumberFormat="1" applyFont="1" applyBorder="1" applyAlignment="1" applyProtection="1">
      <alignment horizontal="center"/>
    </xf>
    <xf numFmtId="9" fontId="1" fillId="6" borderId="0" xfId="3" applyFont="1" applyFill="1" applyBorder="1" applyAlignment="1" applyProtection="1">
      <protection locked="0"/>
    </xf>
    <xf numFmtId="168" fontId="1" fillId="0" borderId="5" xfId="2" applyNumberFormat="1" applyFont="1" applyBorder="1" applyAlignment="1" applyProtection="1">
      <alignment horizontal="center"/>
    </xf>
    <xf numFmtId="168" fontId="1" fillId="0" borderId="5" xfId="2" applyNumberFormat="1" applyFont="1" applyFill="1" applyBorder="1" applyAlignment="1" applyProtection="1">
      <alignment horizontal="center"/>
    </xf>
    <xf numFmtId="167" fontId="2" fillId="0" borderId="9" xfId="0" applyNumberFormat="1" applyFont="1" applyBorder="1" applyAlignment="1" applyProtection="1">
      <alignment horizontal="center"/>
    </xf>
    <xf numFmtId="167" fontId="0" fillId="0" borderId="9" xfId="0" applyNumberFormat="1" applyBorder="1" applyAlignment="1" applyProtection="1">
      <alignment horizontal="center"/>
    </xf>
    <xf numFmtId="167" fontId="2" fillId="0" borderId="10" xfId="0" applyNumberFormat="1" applyFont="1" applyBorder="1" applyAlignment="1" applyProtection="1">
      <alignment horizontal="center"/>
    </xf>
    <xf numFmtId="168" fontId="1" fillId="6" borderId="5" xfId="2" applyNumberFormat="1" applyFont="1" applyFill="1" applyBorder="1" applyAlignment="1" applyProtection="1">
      <alignment horizontal="center"/>
      <protection locked="0"/>
    </xf>
    <xf numFmtId="10" fontId="1" fillId="6" borderId="0" xfId="3" applyNumberFormat="1" applyFont="1" applyFill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"/>
      <protection locked="0"/>
    </xf>
    <xf numFmtId="168" fontId="1" fillId="6" borderId="0" xfId="2" applyNumberFormat="1" applyFont="1" applyFill="1" applyBorder="1" applyAlignment="1" applyProtection="1">
      <alignment horizontal="center"/>
      <protection locked="0"/>
    </xf>
    <xf numFmtId="165" fontId="0" fillId="0" borderId="0" xfId="2" applyFont="1"/>
    <xf numFmtId="169" fontId="1" fillId="0" borderId="0" xfId="3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69" fontId="1" fillId="6" borderId="0" xfId="3" applyNumberFormat="1" applyFont="1" applyFill="1" applyAlignment="1" applyProtection="1">
      <alignment horizontal="center"/>
      <protection locked="0"/>
    </xf>
    <xf numFmtId="168" fontId="1" fillId="0" borderId="0" xfId="2" applyNumberFormat="1" applyFont="1" applyFill="1" applyBorder="1" applyAlignment="1" applyProtection="1">
      <alignment horizontal="center"/>
    </xf>
    <xf numFmtId="0" fontId="1" fillId="6" borderId="21" xfId="0" applyFont="1" applyFill="1" applyBorder="1" applyAlignment="1" applyProtection="1">
      <alignment horizontal="center"/>
      <protection locked="0"/>
    </xf>
    <xf numFmtId="167" fontId="1" fillId="6" borderId="21" xfId="1" applyNumberFormat="1" applyFont="1" applyFill="1" applyBorder="1" applyAlignment="1" applyProtection="1">
      <alignment horizontal="center"/>
      <protection locked="0"/>
    </xf>
    <xf numFmtId="0" fontId="1" fillId="6" borderId="6" xfId="0" applyFont="1" applyFill="1" applyBorder="1" applyAlignment="1" applyProtection="1">
      <alignment horizontal="center"/>
      <protection locked="0"/>
    </xf>
    <xf numFmtId="167" fontId="1" fillId="6" borderId="6" xfId="1" applyNumberFormat="1" applyFont="1" applyFill="1" applyBorder="1" applyProtection="1">
      <protection locked="0"/>
    </xf>
    <xf numFmtId="167" fontId="1" fillId="6" borderId="7" xfId="1" applyNumberFormat="1" applyFont="1" applyFill="1" applyBorder="1" applyProtection="1">
      <protection locked="0"/>
    </xf>
    <xf numFmtId="0" fontId="1" fillId="6" borderId="24" xfId="0" applyFont="1" applyFill="1" applyBorder="1" applyAlignment="1" applyProtection="1">
      <alignment horizontal="center"/>
      <protection locked="0"/>
    </xf>
    <xf numFmtId="167" fontId="1" fillId="6" borderId="29" xfId="1" applyNumberFormat="1" applyFont="1" applyFill="1" applyBorder="1" applyProtection="1">
      <protection locked="0"/>
    </xf>
    <xf numFmtId="168" fontId="1" fillId="6" borderId="21" xfId="2" applyNumberFormat="1" applyFont="1" applyFill="1" applyBorder="1" applyAlignment="1" applyProtection="1">
      <alignment horizontal="center"/>
      <protection locked="0"/>
    </xf>
    <xf numFmtId="168" fontId="1" fillId="6" borderId="6" xfId="2" applyNumberFormat="1" applyFont="1" applyFill="1" applyBorder="1" applyAlignment="1" applyProtection="1">
      <alignment horizontal="center"/>
      <protection locked="0"/>
    </xf>
    <xf numFmtId="168" fontId="1" fillId="6" borderId="7" xfId="2" applyNumberFormat="1" applyFont="1" applyFill="1" applyBorder="1" applyAlignment="1" applyProtection="1">
      <alignment horizontal="center"/>
      <protection locked="0"/>
    </xf>
    <xf numFmtId="168" fontId="1" fillId="6" borderId="29" xfId="2" applyNumberFormat="1" applyFont="1" applyFill="1" applyBorder="1" applyAlignment="1" applyProtection="1">
      <alignment horizontal="center"/>
      <protection locked="0"/>
    </xf>
    <xf numFmtId="168" fontId="1" fillId="6" borderId="9" xfId="2" applyNumberFormat="1" applyFont="1" applyFill="1" applyBorder="1" applyAlignment="1" applyProtection="1">
      <alignment horizontal="center"/>
      <protection locked="0"/>
    </xf>
    <xf numFmtId="167" fontId="1" fillId="6" borderId="9" xfId="1" applyNumberFormat="1" applyFont="1" applyFill="1" applyBorder="1" applyAlignment="1" applyProtection="1">
      <protection locked="0"/>
    </xf>
    <xf numFmtId="165" fontId="1" fillId="6" borderId="0" xfId="2" applyFont="1" applyFill="1" applyBorder="1" applyAlignment="1" applyProtection="1">
      <alignment horizontal="right"/>
      <protection locked="0"/>
    </xf>
    <xf numFmtId="168" fontId="1" fillId="6" borderId="0" xfId="2" applyNumberFormat="1" applyFont="1" applyFill="1" applyBorder="1" applyAlignment="1" applyProtection="1">
      <alignment horizontal="right"/>
      <protection locked="0"/>
    </xf>
    <xf numFmtId="165" fontId="1" fillId="6" borderId="0" xfId="2" applyFont="1" applyFill="1" applyBorder="1" applyAlignment="1">
      <alignment horizontal="right"/>
    </xf>
    <xf numFmtId="9" fontId="1" fillId="6" borderId="0" xfId="3" applyFont="1" applyFill="1" applyBorder="1" applyAlignment="1" applyProtection="1">
      <alignment horizontal="right"/>
      <protection locked="0"/>
    </xf>
    <xf numFmtId="165" fontId="1" fillId="0" borderId="0" xfId="2" applyFont="1" applyFill="1" applyBorder="1" applyAlignment="1" applyProtection="1">
      <alignment horizontal="right"/>
    </xf>
    <xf numFmtId="9" fontId="1" fillId="6" borderId="0" xfId="0" applyNumberFormat="1" applyFont="1" applyFill="1" applyBorder="1" applyAlignment="1" applyProtection="1">
      <alignment horizontal="right"/>
      <protection locked="0"/>
    </xf>
    <xf numFmtId="10" fontId="3" fillId="0" borderId="33" xfId="3" applyNumberFormat="1" applyFont="1" applyFill="1" applyBorder="1"/>
    <xf numFmtId="168" fontId="10" fillId="0" borderId="33" xfId="2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9" fontId="3" fillId="0" borderId="33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/>
    <xf numFmtId="9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165" fontId="1" fillId="0" borderId="33" xfId="2" applyFont="1" applyFill="1" applyBorder="1" applyAlignment="1">
      <alignment horizontal="center"/>
    </xf>
    <xf numFmtId="0" fontId="2" fillId="0" borderId="0" xfId="0" applyFont="1" applyBorder="1"/>
    <xf numFmtId="167" fontId="17" fillId="6" borderId="7" xfId="0" applyNumberFormat="1" applyFont="1" applyFill="1" applyBorder="1" applyProtection="1">
      <protection locked="0"/>
    </xf>
    <xf numFmtId="166" fontId="17" fillId="6" borderId="6" xfId="0" applyNumberFormat="1" applyFont="1" applyFill="1" applyBorder="1" applyProtection="1">
      <protection locked="0"/>
    </xf>
    <xf numFmtId="167" fontId="17" fillId="6" borderId="6" xfId="1" applyNumberFormat="1" applyFont="1" applyFill="1" applyBorder="1" applyProtection="1">
      <protection locked="0"/>
    </xf>
    <xf numFmtId="0" fontId="17" fillId="6" borderId="6" xfId="0" applyFont="1" applyFill="1" applyBorder="1" applyProtection="1">
      <protection locked="0"/>
    </xf>
    <xf numFmtId="167" fontId="17" fillId="0" borderId="6" xfId="1" applyNumberFormat="1" applyFont="1" applyFill="1" applyBorder="1"/>
    <xf numFmtId="9" fontId="17" fillId="6" borderId="6" xfId="0" applyNumberFormat="1" applyFont="1" applyFill="1" applyBorder="1" applyProtection="1">
      <protection locked="0"/>
    </xf>
    <xf numFmtId="0" fontId="24" fillId="0" borderId="0" xfId="4" applyAlignment="1" applyProtection="1">
      <protection locked="0"/>
    </xf>
    <xf numFmtId="0" fontId="8" fillId="3" borderId="17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Files/806/Skypark/Sky%20Park%20Rental%20Analysis%20for%20Kris%202-24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o/Local%20Settings/Temporary%20Internet%20Files/OLK82/Curran%20Skypark%20Pro%20Forma%20(00113114-3)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 Proforma"/>
      <sheetName val="Amortz"/>
    </sheetNames>
    <sheetDataSet>
      <sheetData sheetId="0" refreshError="1"/>
      <sheetData sheetId="1" refreshError="1">
        <row r="5">
          <cell r="D5">
            <v>1800000</v>
          </cell>
        </row>
        <row r="11">
          <cell r="D11">
            <v>11323.92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ECO"/>
      <sheetName val="vendors"/>
      <sheetName val="vendors REVISED"/>
      <sheetName val="POA 3"/>
      <sheetName val="snapshot cash-on-cash"/>
      <sheetName val="S&amp;U  Yield contr current"/>
      <sheetName val="rent roll"/>
      <sheetName val="CF monthly rental"/>
      <sheetName val="CF annual rental"/>
      <sheetName val="CF condo sale"/>
      <sheetName val="cf"/>
      <sheetName val="OpEx"/>
      <sheetName val="Value Snapshot"/>
      <sheetName val="CF contr current continuous"/>
      <sheetName val="trac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Curran Skypark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ytimeestimate.com/PA_TITLE_INSURANCE/pa-title-insurance.htm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42"/>
  <sheetViews>
    <sheetView tabSelected="1" topLeftCell="A2" workbookViewId="0">
      <selection activeCell="G11" sqref="G11"/>
    </sheetView>
  </sheetViews>
  <sheetFormatPr baseColWidth="10" defaultColWidth="8.83203125" defaultRowHeight="12" x14ac:dyDescent="0"/>
  <cols>
    <col min="1" max="1" width="2.6640625" customWidth="1"/>
    <col min="2" max="2" width="28.33203125" bestFit="1" customWidth="1"/>
    <col min="3" max="3" width="4.6640625" bestFit="1" customWidth="1"/>
    <col min="4" max="4" width="19" customWidth="1"/>
    <col min="5" max="5" width="1.6640625" customWidth="1"/>
    <col min="6" max="6" width="24.5" customWidth="1"/>
    <col min="7" max="7" width="14.5" customWidth="1"/>
    <col min="8" max="8" width="3.1640625" customWidth="1"/>
    <col min="9" max="9" width="11.6640625" customWidth="1"/>
    <col min="10" max="10" width="19.5" customWidth="1"/>
    <col min="11" max="11" width="3.6640625" customWidth="1"/>
  </cols>
  <sheetData>
    <row r="1" spans="2:14" ht="13" thickBot="1"/>
    <row r="2" spans="2:14" ht="16" thickBot="1">
      <c r="B2" s="231" t="s">
        <v>53</v>
      </c>
      <c r="C2" s="232"/>
      <c r="D2" s="233"/>
      <c r="E2" s="233"/>
      <c r="F2" s="233"/>
      <c r="G2" s="234"/>
    </row>
    <row r="3" spans="2:14">
      <c r="B3" s="7"/>
      <c r="C3" s="17"/>
      <c r="D3" s="8"/>
      <c r="E3" s="8"/>
      <c r="F3" s="8"/>
      <c r="G3" s="9"/>
    </row>
    <row r="4" spans="2:14">
      <c r="B4" s="235" t="s">
        <v>18</v>
      </c>
      <c r="C4" s="236"/>
      <c r="D4" s="236"/>
      <c r="E4" s="1"/>
      <c r="F4" s="236" t="s">
        <v>10</v>
      </c>
      <c r="G4" s="237"/>
    </row>
    <row r="5" spans="2:14" ht="13.5" customHeight="1">
      <c r="B5" s="165" t="s">
        <v>114</v>
      </c>
      <c r="C5" s="179">
        <v>0.25</v>
      </c>
      <c r="D5" s="178">
        <f>G11*C5</f>
        <v>209639.75</v>
      </c>
      <c r="E5" s="2"/>
      <c r="F5" s="12" t="s">
        <v>11</v>
      </c>
      <c r="G5" s="185">
        <v>650000</v>
      </c>
    </row>
    <row r="6" spans="2:14" ht="13.5" customHeight="1">
      <c r="B6" s="10" t="s">
        <v>8</v>
      </c>
      <c r="C6" s="167"/>
      <c r="D6" s="178">
        <f>G11-D5</f>
        <v>628919.25</v>
      </c>
      <c r="E6" s="2"/>
      <c r="F6" s="12" t="s">
        <v>12</v>
      </c>
      <c r="G6" s="180">
        <f>G13</f>
        <v>35484</v>
      </c>
    </row>
    <row r="7" spans="2:14" ht="12.75" customHeight="1">
      <c r="B7" s="67"/>
      <c r="C7" s="68"/>
      <c r="D7" s="65"/>
      <c r="E7" s="6"/>
      <c r="F7" s="12" t="s">
        <v>27</v>
      </c>
      <c r="G7" s="180">
        <f>'Construction Budget'!H19+'Construction Budget'!B19</f>
        <v>149000</v>
      </c>
    </row>
    <row r="8" spans="2:14">
      <c r="B8" s="13"/>
      <c r="C8" s="1"/>
      <c r="D8" s="68"/>
      <c r="E8" s="4"/>
      <c r="F8" s="12" t="s">
        <v>19</v>
      </c>
      <c r="G8" s="180">
        <f>G27</f>
        <v>350</v>
      </c>
    </row>
    <row r="9" spans="2:14">
      <c r="B9" s="13"/>
      <c r="C9" s="1"/>
      <c r="D9" s="4"/>
      <c r="E9" s="4"/>
      <c r="F9" s="82" t="s">
        <v>13</v>
      </c>
      <c r="G9" s="181">
        <f>G7*0.05/2</f>
        <v>3725</v>
      </c>
      <c r="H9" s="59"/>
      <c r="N9" s="83"/>
    </row>
    <row r="10" spans="2:14" ht="13" thickBot="1">
      <c r="B10" s="62"/>
      <c r="C10" s="57"/>
      <c r="D10" s="158"/>
      <c r="E10" s="63"/>
      <c r="F10" s="64"/>
      <c r="G10" s="78"/>
    </row>
    <row r="11" spans="2:14" ht="13" thickBot="1">
      <c r="B11" s="61"/>
      <c r="C11" s="166"/>
      <c r="D11" s="182">
        <f>D5+D6</f>
        <v>838559</v>
      </c>
      <c r="E11" s="183"/>
      <c r="F11" s="183"/>
      <c r="G11" s="184">
        <f>SUM(G5:G9)</f>
        <v>838559</v>
      </c>
    </row>
    <row r="13" spans="2:14">
      <c r="B13" t="s">
        <v>52</v>
      </c>
      <c r="F13" s="191" t="s">
        <v>12</v>
      </c>
      <c r="G13" s="5">
        <f>SUM(G14:G25)</f>
        <v>35484</v>
      </c>
      <c r="I13" s="5"/>
    </row>
    <row r="14" spans="2:14">
      <c r="B14" s="79" t="s">
        <v>50</v>
      </c>
      <c r="C14" s="79"/>
      <c r="D14" s="186">
        <v>4.4999999999999998E-2</v>
      </c>
      <c r="F14" t="s">
        <v>56</v>
      </c>
      <c r="G14" s="18">
        <f>0.015*G5</f>
        <v>9750</v>
      </c>
      <c r="I14" s="238"/>
      <c r="J14" s="239"/>
      <c r="L14" s="238"/>
      <c r="M14" s="239"/>
    </row>
    <row r="15" spans="2:14">
      <c r="B15" s="79" t="s">
        <v>115</v>
      </c>
      <c r="D15" s="187">
        <v>30</v>
      </c>
      <c r="F15" s="14" t="s">
        <v>26</v>
      </c>
      <c r="G15" s="18">
        <f>(G7+G5)*0.01</f>
        <v>7990</v>
      </c>
      <c r="I15" s="79"/>
      <c r="J15" s="79"/>
      <c r="L15" s="79"/>
      <c r="M15" s="79"/>
    </row>
    <row r="16" spans="2:14">
      <c r="B16" t="s">
        <v>42</v>
      </c>
      <c r="D16" s="38">
        <f>PMT(D14,D15,D6,0)/D6*-1</f>
        <v>6.1391542908593145E-2</v>
      </c>
      <c r="F16" s="14" t="s">
        <v>20</v>
      </c>
      <c r="G16" s="188">
        <v>2500</v>
      </c>
    </row>
    <row r="17" spans="2:11">
      <c r="B17" s="79" t="s">
        <v>49</v>
      </c>
      <c r="C17" s="79"/>
      <c r="F17" s="14" t="s">
        <v>17</v>
      </c>
      <c r="G17" s="188">
        <v>7000</v>
      </c>
    </row>
    <row r="18" spans="2:11">
      <c r="D18" s="80"/>
      <c r="F18" s="14" t="s">
        <v>21</v>
      </c>
      <c r="G18" s="188">
        <v>950</v>
      </c>
      <c r="I18" s="230" t="s">
        <v>129</v>
      </c>
    </row>
    <row r="19" spans="2:11">
      <c r="B19" t="s">
        <v>43</v>
      </c>
      <c r="D19" s="193">
        <v>7.0000000000000007E-2</v>
      </c>
      <c r="F19" s="14" t="s">
        <v>22</v>
      </c>
      <c r="G19" s="188">
        <v>2500</v>
      </c>
    </row>
    <row r="20" spans="2:11">
      <c r="B20" t="s">
        <v>28</v>
      </c>
      <c r="D20" s="190">
        <v>0.05</v>
      </c>
      <c r="F20" s="14" t="s">
        <v>62</v>
      </c>
      <c r="G20" s="188">
        <v>0</v>
      </c>
      <c r="J20" s="79"/>
    </row>
    <row r="21" spans="2:11">
      <c r="F21" s="14" t="s">
        <v>23</v>
      </c>
      <c r="G21" s="188">
        <v>0</v>
      </c>
    </row>
    <row r="22" spans="2:11">
      <c r="B22" s="191" t="s">
        <v>116</v>
      </c>
      <c r="F22" s="14" t="s">
        <v>58</v>
      </c>
      <c r="G22" s="188">
        <v>0</v>
      </c>
      <c r="I22" s="79"/>
    </row>
    <row r="23" spans="2:11">
      <c r="B23" s="191" t="s">
        <v>126</v>
      </c>
      <c r="F23" s="14" t="s">
        <v>59</v>
      </c>
      <c r="G23" s="188">
        <v>0</v>
      </c>
      <c r="I23" s="79"/>
    </row>
    <row r="24" spans="2:11">
      <c r="B24" s="79" t="s">
        <v>117</v>
      </c>
      <c r="D24" s="168">
        <v>7.4999999999999997E-2</v>
      </c>
      <c r="F24" s="14" t="s">
        <v>5</v>
      </c>
      <c r="G24" s="194">
        <f>(G7+G5)*0.006</f>
        <v>4794</v>
      </c>
    </row>
    <row r="25" spans="2:11">
      <c r="B25" s="79" t="s">
        <v>118</v>
      </c>
      <c r="D25" s="169">
        <v>7.0000000000000007E-2</v>
      </c>
      <c r="F25" s="14" t="s">
        <v>63</v>
      </c>
      <c r="G25" s="188">
        <v>0</v>
      </c>
      <c r="I25" s="79"/>
    </row>
    <row r="26" spans="2:11">
      <c r="B26" s="170" t="s">
        <v>119</v>
      </c>
      <c r="D26" s="168">
        <v>0.06</v>
      </c>
    </row>
    <row r="27" spans="2:11">
      <c r="B27" s="191" t="s">
        <v>127</v>
      </c>
      <c r="F27" s="192" t="s">
        <v>19</v>
      </c>
      <c r="G27" s="5">
        <f>SUM(G28:G34)</f>
        <v>350</v>
      </c>
      <c r="I27" s="79"/>
      <c r="J27" s="79"/>
    </row>
    <row r="28" spans="2:11">
      <c r="B28" s="79" t="s">
        <v>117</v>
      </c>
      <c r="C28" s="79"/>
      <c r="D28" s="168">
        <v>8.5000000000000006E-2</v>
      </c>
      <c r="F28" s="14" t="s">
        <v>24</v>
      </c>
      <c r="G28" s="188">
        <v>0</v>
      </c>
      <c r="I28" s="171"/>
      <c r="J28" s="18"/>
    </row>
    <row r="29" spans="2:11">
      <c r="B29" s="79" t="s">
        <v>118</v>
      </c>
      <c r="C29" s="79"/>
      <c r="D29" s="169">
        <v>0.08</v>
      </c>
      <c r="F29" s="85" t="s">
        <v>120</v>
      </c>
      <c r="G29" s="188">
        <v>0</v>
      </c>
      <c r="I29" s="18"/>
      <c r="J29" s="18"/>
    </row>
    <row r="30" spans="2:11">
      <c r="B30" s="170" t="s">
        <v>119</v>
      </c>
      <c r="D30" s="168">
        <v>7.0000000000000007E-2</v>
      </c>
      <c r="F30" s="85" t="s">
        <v>64</v>
      </c>
      <c r="G30" s="188">
        <v>0</v>
      </c>
      <c r="I30" s="172"/>
    </row>
    <row r="31" spans="2:11">
      <c r="B31" s="191" t="s">
        <v>128</v>
      </c>
      <c r="C31" s="79"/>
      <c r="D31" s="18"/>
      <c r="F31" s="14" t="s">
        <v>47</v>
      </c>
      <c r="G31" s="188">
        <v>0</v>
      </c>
      <c r="I31" s="172"/>
    </row>
    <row r="32" spans="2:11">
      <c r="B32" s="79" t="s">
        <v>117</v>
      </c>
      <c r="D32">
        <v>9.5</v>
      </c>
      <c r="F32" s="14" t="s">
        <v>60</v>
      </c>
      <c r="G32" s="188">
        <v>500</v>
      </c>
      <c r="I32" s="172"/>
      <c r="J32" s="14"/>
      <c r="K32" s="15"/>
    </row>
    <row r="33" spans="2:9">
      <c r="B33" s="79" t="s">
        <v>118</v>
      </c>
      <c r="D33">
        <v>9</v>
      </c>
      <c r="F33" s="14" t="s">
        <v>111</v>
      </c>
      <c r="G33" s="189">
        <f>+((((('Construction Budget'!H22*1.15)-500)/100)*50)+100)</f>
        <v>-150</v>
      </c>
      <c r="I33" s="79"/>
    </row>
    <row r="34" spans="2:9">
      <c r="B34" s="170" t="s">
        <v>119</v>
      </c>
      <c r="D34">
        <v>8</v>
      </c>
      <c r="F34" s="14" t="s">
        <v>61</v>
      </c>
      <c r="G34" s="188">
        <v>0</v>
      </c>
      <c r="I34" s="172"/>
    </row>
    <row r="36" spans="2:9">
      <c r="D36" s="15"/>
    </row>
    <row r="42" spans="2:9">
      <c r="F42" s="14"/>
    </row>
  </sheetData>
  <sheetProtection selectLockedCells="1"/>
  <dataConsolidate/>
  <mergeCells count="5">
    <mergeCell ref="B2:G2"/>
    <mergeCell ref="B4:D4"/>
    <mergeCell ref="F4:G4"/>
    <mergeCell ref="I14:J14"/>
    <mergeCell ref="L14:M14"/>
  </mergeCells>
  <phoneticPr fontId="5" type="noConversion"/>
  <hyperlinks>
    <hyperlink ref="I18" r:id="rId1"/>
  </hyperlinks>
  <pageMargins left="0.7" right="0.7" top="0.75" bottom="0.75" header="0.3" footer="0.3"/>
  <pageSetup orientation="portrait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9"/>
  <sheetViews>
    <sheetView topLeftCell="A3" workbookViewId="0">
      <selection activeCell="C3" sqref="C3"/>
    </sheetView>
  </sheetViews>
  <sheetFormatPr baseColWidth="10" defaultColWidth="11.5" defaultRowHeight="12" x14ac:dyDescent="0"/>
  <cols>
    <col min="1" max="1" width="24.1640625" style="16" bestFit="1" customWidth="1"/>
    <col min="2" max="2" width="13.5" style="16" bestFit="1" customWidth="1"/>
    <col min="3" max="3" width="11.83203125" style="16" customWidth="1"/>
    <col min="4" max="4" width="14.6640625" style="16" customWidth="1"/>
    <col min="5" max="5" width="8.5" style="16" customWidth="1"/>
    <col min="6" max="6" width="11.5" style="16"/>
    <col min="7" max="7" width="24.1640625" style="16" hidden="1" customWidth="1"/>
    <col min="8" max="8" width="13.5" style="16" hidden="1" customWidth="1"/>
    <col min="9" max="10" width="11.5" style="16" hidden="1" customWidth="1"/>
    <col min="11" max="16384" width="11.5" style="16"/>
  </cols>
  <sheetData>
    <row r="1" spans="1:10" ht="16" thickBot="1">
      <c r="A1" s="162" t="s">
        <v>104</v>
      </c>
      <c r="B1" s="163"/>
      <c r="C1" s="163"/>
      <c r="D1" s="164"/>
      <c r="G1" s="162" t="s">
        <v>103</v>
      </c>
      <c r="H1" s="163"/>
      <c r="I1" s="163"/>
      <c r="J1" s="164"/>
    </row>
    <row r="2" spans="1:10" ht="14">
      <c r="A2" s="139" t="s">
        <v>77</v>
      </c>
      <c r="B2" s="139" t="s">
        <v>78</v>
      </c>
      <c r="C2" s="139" t="s">
        <v>79</v>
      </c>
      <c r="D2" s="139"/>
      <c r="G2" s="139" t="s">
        <v>77</v>
      </c>
      <c r="H2" s="139" t="s">
        <v>78</v>
      </c>
      <c r="I2" s="139" t="s">
        <v>79</v>
      </c>
      <c r="J2" s="139"/>
    </row>
    <row r="3" spans="1:10" ht="14">
      <c r="A3" s="140" t="s">
        <v>80</v>
      </c>
      <c r="B3" s="227">
        <v>18</v>
      </c>
      <c r="C3" s="227">
        <v>80</v>
      </c>
      <c r="D3" s="228">
        <f>B3*C3</f>
        <v>1440</v>
      </c>
      <c r="G3" s="140" t="s">
        <v>105</v>
      </c>
      <c r="H3" s="173">
        <v>0</v>
      </c>
      <c r="I3" s="173">
        <v>0</v>
      </c>
      <c r="J3" s="141">
        <f>H3*I3</f>
        <v>0</v>
      </c>
    </row>
    <row r="4" spans="1:10" ht="14">
      <c r="A4" s="140"/>
      <c r="B4" s="140"/>
      <c r="C4" s="140"/>
      <c r="D4" s="141">
        <f>B4*C4</f>
        <v>0</v>
      </c>
      <c r="G4" s="140"/>
      <c r="H4" s="140"/>
      <c r="I4" s="140"/>
      <c r="J4" s="141">
        <f>H4*I4</f>
        <v>0</v>
      </c>
    </row>
    <row r="5" spans="1:10" ht="14">
      <c r="A5" s="154"/>
      <c r="B5" s="140"/>
      <c r="C5" s="140"/>
      <c r="D5" s="141">
        <f>B5*C5</f>
        <v>0</v>
      </c>
      <c r="G5" s="154"/>
      <c r="H5" s="140"/>
      <c r="I5" s="140"/>
      <c r="J5" s="141">
        <f>H5*I5</f>
        <v>0</v>
      </c>
    </row>
    <row r="6" spans="1:10" ht="14">
      <c r="A6" s="140"/>
      <c r="B6" s="140"/>
      <c r="C6" s="142"/>
      <c r="D6" s="141"/>
      <c r="G6" s="140"/>
      <c r="H6" s="140"/>
      <c r="I6" s="142"/>
      <c r="J6" s="141"/>
    </row>
    <row r="7" spans="1:10" ht="14">
      <c r="A7" s="140"/>
      <c r="B7" s="140"/>
      <c r="C7" s="140"/>
      <c r="D7" s="141"/>
      <c r="G7" s="140"/>
      <c r="H7" s="140"/>
      <c r="I7" s="140"/>
      <c r="J7" s="141"/>
    </row>
    <row r="8" spans="1:10" ht="14">
      <c r="A8" s="143" t="s">
        <v>51</v>
      </c>
      <c r="B8" s="143">
        <f>SUM(B3:B7)</f>
        <v>18</v>
      </c>
      <c r="C8" s="143"/>
      <c r="D8" s="144">
        <f>SUM(D3:D7)</f>
        <v>1440</v>
      </c>
      <c r="G8" s="143" t="s">
        <v>51</v>
      </c>
      <c r="H8" s="143">
        <f>SUM(H3:H7)</f>
        <v>0</v>
      </c>
      <c r="I8" s="143"/>
      <c r="J8" s="144">
        <f>SUM(J3:J7)</f>
        <v>0</v>
      </c>
    </row>
    <row r="9" spans="1:10" ht="15" thickBot="1">
      <c r="A9" s="145"/>
      <c r="B9" s="145"/>
      <c r="C9" s="145"/>
      <c r="D9" s="145"/>
      <c r="G9" s="145"/>
      <c r="H9" s="145"/>
      <c r="I9" s="145"/>
      <c r="J9" s="145"/>
    </row>
    <row r="10" spans="1:10" ht="16" thickBot="1">
      <c r="A10" s="162" t="s">
        <v>104</v>
      </c>
      <c r="B10" s="163"/>
      <c r="C10" s="163"/>
      <c r="D10" s="164"/>
      <c r="G10" s="162" t="s">
        <v>103</v>
      </c>
      <c r="H10" s="163"/>
      <c r="I10" s="163"/>
      <c r="J10" s="164"/>
    </row>
    <row r="11" spans="1:10" ht="14">
      <c r="A11" s="139" t="s">
        <v>106</v>
      </c>
      <c r="B11" s="224">
        <v>8</v>
      </c>
      <c r="C11" s="139"/>
      <c r="D11" s="139"/>
      <c r="G11" s="139" t="s">
        <v>80</v>
      </c>
      <c r="H11" s="146">
        <f>J8</f>
        <v>0</v>
      </c>
      <c r="I11" s="139"/>
      <c r="J11" s="139"/>
    </row>
    <row r="12" spans="1:10" ht="14">
      <c r="A12" s="140"/>
      <c r="B12" s="147"/>
      <c r="C12" s="140"/>
      <c r="D12" s="140"/>
      <c r="G12" s="140" t="s">
        <v>81</v>
      </c>
      <c r="H12" s="147">
        <v>0.7</v>
      </c>
      <c r="I12" s="140"/>
      <c r="J12" s="140"/>
    </row>
    <row r="13" spans="1:10" ht="14">
      <c r="A13" s="140" t="s">
        <v>107</v>
      </c>
      <c r="B13" s="225">
        <v>18000</v>
      </c>
      <c r="C13" s="140"/>
      <c r="D13" s="140"/>
      <c r="G13" s="140" t="s">
        <v>82</v>
      </c>
      <c r="H13" s="148">
        <f>H11*H12</f>
        <v>0</v>
      </c>
      <c r="I13" s="140"/>
      <c r="J13" s="140"/>
    </row>
    <row r="14" spans="1:10" ht="14">
      <c r="A14" s="140" t="s">
        <v>108</v>
      </c>
      <c r="B14" s="226">
        <v>5000</v>
      </c>
      <c r="C14" s="140"/>
      <c r="D14" s="140"/>
      <c r="G14" s="140" t="s">
        <v>83</v>
      </c>
      <c r="H14" s="175">
        <v>3</v>
      </c>
      <c r="I14" s="140"/>
      <c r="J14" s="140"/>
    </row>
    <row r="15" spans="1:10" ht="14">
      <c r="A15" s="140"/>
      <c r="B15" s="149"/>
      <c r="C15" s="140"/>
      <c r="D15" s="140"/>
      <c r="G15" s="140" t="s">
        <v>84</v>
      </c>
      <c r="H15" s="149">
        <f>H13*H14</f>
        <v>0</v>
      </c>
      <c r="I15" s="140"/>
      <c r="J15" s="140"/>
    </row>
    <row r="16" spans="1:10" ht="14">
      <c r="A16" s="140" t="s">
        <v>133</v>
      </c>
      <c r="B16" s="225">
        <v>1800</v>
      </c>
      <c r="C16" s="140"/>
      <c r="D16" s="140"/>
      <c r="G16" s="140" t="s">
        <v>85</v>
      </c>
      <c r="H16" s="148">
        <v>0</v>
      </c>
      <c r="I16" s="140"/>
      <c r="J16" s="140"/>
    </row>
    <row r="17" spans="1:10" ht="14">
      <c r="A17" s="140"/>
      <c r="B17" s="148"/>
      <c r="C17" s="140"/>
      <c r="D17" s="140"/>
      <c r="G17" s="140" t="s">
        <v>86</v>
      </c>
      <c r="H17" s="148">
        <f>H16*50</f>
        <v>0</v>
      </c>
      <c r="I17" s="140"/>
      <c r="J17" s="140"/>
    </row>
    <row r="18" spans="1:10" ht="14">
      <c r="A18" s="140"/>
      <c r="B18" s="150"/>
      <c r="C18" s="140"/>
      <c r="D18" s="140"/>
      <c r="G18" s="140" t="s">
        <v>87</v>
      </c>
      <c r="H18" s="150">
        <v>115</v>
      </c>
      <c r="I18" s="140"/>
      <c r="J18" s="140"/>
    </row>
    <row r="19" spans="1:10" ht="14">
      <c r="A19" s="140" t="s">
        <v>88</v>
      </c>
      <c r="B19" s="150">
        <f>B11*B13+B14</f>
        <v>149000</v>
      </c>
      <c r="C19" s="140"/>
      <c r="D19" s="140"/>
      <c r="G19" s="140" t="s">
        <v>88</v>
      </c>
      <c r="H19" s="150">
        <f>H15*H18</f>
        <v>0</v>
      </c>
      <c r="I19" s="140"/>
      <c r="J19" s="140"/>
    </row>
    <row r="20" spans="1:10" ht="15" thickBot="1">
      <c r="A20" s="145"/>
      <c r="B20" s="151"/>
      <c r="C20" s="145"/>
      <c r="D20" s="145"/>
      <c r="G20" s="145"/>
      <c r="H20" s="151"/>
      <c r="I20" s="145"/>
      <c r="J20" s="145"/>
    </row>
    <row r="21" spans="1:10" ht="16" thickBot="1">
      <c r="A21" s="162" t="s">
        <v>104</v>
      </c>
      <c r="B21" s="163"/>
      <c r="C21" s="163"/>
      <c r="D21" s="164"/>
      <c r="G21" s="162" t="s">
        <v>103</v>
      </c>
      <c r="H21" s="163"/>
      <c r="I21" s="163"/>
      <c r="J21" s="164"/>
    </row>
    <row r="22" spans="1:10" ht="14">
      <c r="A22" s="139" t="s">
        <v>41</v>
      </c>
      <c r="B22" s="152">
        <f>B11</f>
        <v>8</v>
      </c>
      <c r="C22" s="139"/>
      <c r="D22" s="139"/>
      <c r="G22" s="139" t="s">
        <v>89</v>
      </c>
      <c r="H22" s="152">
        <f>H15</f>
        <v>0</v>
      </c>
      <c r="I22" s="139"/>
      <c r="J22" s="139"/>
    </row>
    <row r="23" spans="1:10" ht="14">
      <c r="A23" s="140" t="s">
        <v>90</v>
      </c>
      <c r="B23" s="229">
        <v>0.15</v>
      </c>
      <c r="C23" s="140"/>
      <c r="D23" s="140"/>
      <c r="G23" s="140" t="s">
        <v>90</v>
      </c>
      <c r="H23" s="147">
        <v>0.15</v>
      </c>
      <c r="I23" s="140"/>
      <c r="J23" s="140"/>
    </row>
    <row r="24" spans="1:10" ht="14">
      <c r="A24" s="140" t="s">
        <v>91</v>
      </c>
      <c r="B24" s="149">
        <f>B16*(1-B23)</f>
        <v>1530</v>
      </c>
      <c r="C24" s="140"/>
      <c r="D24" s="140"/>
      <c r="G24" s="140" t="s">
        <v>91</v>
      </c>
      <c r="H24" s="149">
        <f>H22*(100%-H23)</f>
        <v>0</v>
      </c>
      <c r="I24" s="140"/>
      <c r="J24" s="140"/>
    </row>
    <row r="25" spans="1:10" ht="14">
      <c r="A25" s="140" t="s">
        <v>92</v>
      </c>
      <c r="B25" s="148">
        <v>0</v>
      </c>
      <c r="C25" s="140"/>
      <c r="D25" s="140"/>
      <c r="G25" s="140" t="s">
        <v>92</v>
      </c>
      <c r="H25" s="174">
        <v>0</v>
      </c>
      <c r="I25" s="140"/>
      <c r="J25" s="140"/>
    </row>
    <row r="26" spans="1:10" ht="14">
      <c r="A26" s="140" t="s">
        <v>93</v>
      </c>
      <c r="B26" s="148">
        <f>B24-B25</f>
        <v>1530</v>
      </c>
      <c r="C26" s="140"/>
      <c r="D26" s="140"/>
      <c r="G26" s="140" t="s">
        <v>93</v>
      </c>
      <c r="H26" s="148">
        <f>H24-H25</f>
        <v>0</v>
      </c>
      <c r="I26" s="140"/>
      <c r="J26" s="140"/>
    </row>
    <row r="27" spans="1:10" ht="14">
      <c r="A27" s="140" t="s">
        <v>94</v>
      </c>
      <c r="B27" s="225">
        <v>825</v>
      </c>
      <c r="C27" s="140"/>
      <c r="D27" s="140"/>
      <c r="G27" s="140" t="s">
        <v>94</v>
      </c>
      <c r="H27" s="174">
        <v>850</v>
      </c>
      <c r="I27" s="140"/>
      <c r="J27" s="140"/>
    </row>
    <row r="28" spans="1:10" ht="14">
      <c r="A28" s="140" t="s">
        <v>95</v>
      </c>
      <c r="B28" s="153">
        <f>B26/B27</f>
        <v>1.8545454545454545</v>
      </c>
      <c r="C28" s="140"/>
      <c r="D28" s="140"/>
      <c r="G28" s="140" t="s">
        <v>95</v>
      </c>
      <c r="H28" s="153">
        <f>H26/H27</f>
        <v>0</v>
      </c>
      <c r="I28" s="140"/>
      <c r="J28" s="140"/>
    </row>
    <row r="29" spans="1:10" ht="15">
      <c r="A29" s="16" t="s">
        <v>96</v>
      </c>
      <c r="B29" s="176">
        <f>((D8-1440)/480)+4</f>
        <v>4</v>
      </c>
      <c r="C29" s="16" t="s">
        <v>97</v>
      </c>
      <c r="G29" s="177" t="s">
        <v>96</v>
      </c>
      <c r="H29" s="176">
        <f>((H11-1440)/480)+4</f>
        <v>1</v>
      </c>
      <c r="I29" s="177" t="s">
        <v>97</v>
      </c>
      <c r="J29" s="177"/>
    </row>
  </sheetData>
  <sheetProtection password="ED16" sheet="1" objects="1" scenarios="1" selectLockedCells="1"/>
  <phoneticPr fontId="5" type="noConversion"/>
  <pageMargins left="0.75" right="0.75" top="1" bottom="1" header="0.5" footer="0.5"/>
  <pageSetup scale="70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0"/>
  <sheetViews>
    <sheetView workbookViewId="0">
      <selection activeCell="C5" sqref="C5"/>
    </sheetView>
  </sheetViews>
  <sheetFormatPr baseColWidth="10" defaultColWidth="8.83203125" defaultRowHeight="12" x14ac:dyDescent="0"/>
  <cols>
    <col min="1" max="1" width="2.83203125" customWidth="1"/>
    <col min="2" max="2" width="17" customWidth="1"/>
    <col min="3" max="3" width="13.33203125" customWidth="1"/>
    <col min="4" max="4" width="12.5" customWidth="1"/>
    <col min="5" max="5" width="13.5" customWidth="1"/>
    <col min="6" max="6" width="18.33203125" customWidth="1"/>
    <col min="7" max="7" width="17.5" customWidth="1"/>
    <col min="8" max="8" width="15" bestFit="1" customWidth="1"/>
  </cols>
  <sheetData>
    <row r="1" spans="2:8" ht="13" thickBot="1"/>
    <row r="2" spans="2:8" ht="18.75" customHeight="1" thickBot="1">
      <c r="B2" s="240" t="s">
        <v>9</v>
      </c>
      <c r="C2" s="241"/>
      <c r="D2" s="241"/>
      <c r="E2" s="241"/>
      <c r="F2" s="241"/>
      <c r="G2" s="241"/>
      <c r="H2" s="242"/>
    </row>
    <row r="3" spans="2:8">
      <c r="B3" s="7"/>
      <c r="C3" s="17"/>
      <c r="D3" s="17"/>
      <c r="E3" s="17"/>
      <c r="F3" s="17" t="s">
        <v>0</v>
      </c>
      <c r="G3" s="17" t="s">
        <v>0</v>
      </c>
      <c r="H3" s="124"/>
    </row>
    <row r="4" spans="2:8">
      <c r="B4" s="73" t="s">
        <v>1</v>
      </c>
      <c r="C4" s="3" t="s">
        <v>66</v>
      </c>
      <c r="D4" s="3" t="s">
        <v>2</v>
      </c>
      <c r="E4" s="3" t="s">
        <v>67</v>
      </c>
      <c r="F4" s="3" t="s">
        <v>68</v>
      </c>
      <c r="G4" s="3" t="s">
        <v>69</v>
      </c>
      <c r="H4" s="74" t="s">
        <v>3</v>
      </c>
    </row>
    <row r="5" spans="2:8" ht="13" thickBot="1">
      <c r="B5" s="69" t="s">
        <v>45</v>
      </c>
      <c r="C5" s="207">
        <v>0</v>
      </c>
      <c r="D5" s="121"/>
      <c r="E5" s="121"/>
      <c r="F5" s="206">
        <v>100</v>
      </c>
      <c r="G5" s="122">
        <f>F5*C5</f>
        <v>0</v>
      </c>
      <c r="H5" s="123"/>
    </row>
    <row r="6" spans="2:8" ht="13" thickBot="1">
      <c r="B6" s="113" t="s">
        <v>51</v>
      </c>
      <c r="C6" s="115">
        <f>SUM(C5)</f>
        <v>0</v>
      </c>
      <c r="D6" s="114"/>
      <c r="E6" s="115">
        <f>SUM(E2:E5)</f>
        <v>0</v>
      </c>
      <c r="F6" s="116">
        <f>SUM(F5)</f>
        <v>100</v>
      </c>
      <c r="G6" s="116">
        <f>SUM(G5)</f>
        <v>0</v>
      </c>
      <c r="H6" s="125" t="e">
        <f>G6/E6</f>
        <v>#DIV/0!</v>
      </c>
    </row>
    <row r="7" spans="2:8" ht="13" thickBot="1">
      <c r="C7" s="93"/>
      <c r="D7" s="90"/>
      <c r="E7" s="90"/>
      <c r="F7" s="11"/>
      <c r="G7" s="11"/>
      <c r="H7" s="3"/>
    </row>
    <row r="8" spans="2:8">
      <c r="B8" s="94"/>
      <c r="C8" s="95"/>
      <c r="D8" s="95"/>
      <c r="E8" s="95"/>
      <c r="F8" s="95" t="s">
        <v>0</v>
      </c>
      <c r="G8" s="95" t="s">
        <v>0</v>
      </c>
      <c r="H8" s="126"/>
    </row>
    <row r="9" spans="2:8" ht="13" thickBot="1">
      <c r="B9" s="96" t="s">
        <v>1</v>
      </c>
      <c r="C9" s="97" t="s">
        <v>66</v>
      </c>
      <c r="D9" s="97" t="s">
        <v>2</v>
      </c>
      <c r="E9" s="97" t="s">
        <v>67</v>
      </c>
      <c r="F9" s="97" t="s">
        <v>68</v>
      </c>
      <c r="G9" s="97" t="s">
        <v>69</v>
      </c>
      <c r="H9" s="98" t="s">
        <v>3</v>
      </c>
    </row>
    <row r="10" spans="2:8">
      <c r="B10" s="99" t="s">
        <v>113</v>
      </c>
      <c r="C10" s="195">
        <v>0</v>
      </c>
      <c r="D10" s="196">
        <v>450</v>
      </c>
      <c r="E10" s="100">
        <f>D10*C10</f>
        <v>0</v>
      </c>
      <c r="F10" s="202">
        <v>800</v>
      </c>
      <c r="G10" s="101">
        <f>F10*C10</f>
        <v>0</v>
      </c>
      <c r="H10" s="127">
        <f>F10/D10</f>
        <v>1.7777777777777777</v>
      </c>
    </row>
    <row r="11" spans="2:8">
      <c r="B11" s="102" t="s">
        <v>70</v>
      </c>
      <c r="C11" s="197">
        <v>5</v>
      </c>
      <c r="D11" s="198">
        <v>750</v>
      </c>
      <c r="E11" s="103">
        <f>D11*C11</f>
        <v>3750</v>
      </c>
      <c r="F11" s="203">
        <v>1100</v>
      </c>
      <c r="G11" s="104">
        <f>F11*C11</f>
        <v>5500</v>
      </c>
      <c r="H11" s="105">
        <f>F11/D11</f>
        <v>1.4666666666666666</v>
      </c>
    </row>
    <row r="12" spans="2:8">
      <c r="B12" s="102" t="s">
        <v>112</v>
      </c>
      <c r="C12" s="197">
        <v>1</v>
      </c>
      <c r="D12" s="199">
        <v>800</v>
      </c>
      <c r="E12" s="106">
        <f>D12*C12</f>
        <v>800</v>
      </c>
      <c r="F12" s="204">
        <v>1200</v>
      </c>
      <c r="G12" s="107">
        <f>F12*C12</f>
        <v>1200</v>
      </c>
      <c r="H12" s="108">
        <f>F12/D12</f>
        <v>1.5</v>
      </c>
    </row>
    <row r="13" spans="2:8" ht="13" thickBot="1">
      <c r="B13" s="109" t="s">
        <v>71</v>
      </c>
      <c r="C13" s="200">
        <v>1</v>
      </c>
      <c r="D13" s="201">
        <v>1200</v>
      </c>
      <c r="E13" s="110">
        <f>D13*C13</f>
        <v>1200</v>
      </c>
      <c r="F13" s="205">
        <v>1500</v>
      </c>
      <c r="G13" s="111">
        <f>F13*C13</f>
        <v>1500</v>
      </c>
      <c r="H13" s="112">
        <f>F13/D13</f>
        <v>1.25</v>
      </c>
    </row>
    <row r="14" spans="2:8" ht="13" thickBot="1">
      <c r="B14" s="113" t="s">
        <v>51</v>
      </c>
      <c r="C14" s="114">
        <f>SUM(C10:C13)</f>
        <v>7</v>
      </c>
      <c r="D14" s="114"/>
      <c r="E14" s="115">
        <f>SUM(E10:E13)</f>
        <v>5750</v>
      </c>
      <c r="F14" s="116">
        <f>SUM(F10:F13)</f>
        <v>4600</v>
      </c>
      <c r="G14" s="116">
        <f>SUM(G10:G13)</f>
        <v>8200</v>
      </c>
      <c r="H14" s="125">
        <f>G14/E14</f>
        <v>1.4260869565217391</v>
      </c>
    </row>
    <row r="15" spans="2:8">
      <c r="B15" s="155" t="s">
        <v>98</v>
      </c>
      <c r="C15" s="159">
        <f>'Construction Budget'!B29</f>
        <v>4</v>
      </c>
      <c r="E15" s="156">
        <f>'Construction Budget'!H26</f>
        <v>0</v>
      </c>
      <c r="F15" s="157" t="s">
        <v>99</v>
      </c>
    </row>
    <row r="16" spans="2:8" ht="13" thickBot="1"/>
    <row r="17" spans="2:8">
      <c r="B17" s="94"/>
      <c r="C17" s="95"/>
      <c r="D17" s="95"/>
      <c r="E17" s="95"/>
      <c r="F17" s="95" t="s">
        <v>0</v>
      </c>
      <c r="G17" s="95" t="s">
        <v>0</v>
      </c>
      <c r="H17" s="126"/>
    </row>
    <row r="18" spans="2:8" ht="13" thickBot="1">
      <c r="B18" s="96" t="s">
        <v>1</v>
      </c>
      <c r="C18" s="97" t="s">
        <v>66</v>
      </c>
      <c r="D18" s="97" t="s">
        <v>2</v>
      </c>
      <c r="E18" s="97" t="s">
        <v>67</v>
      </c>
      <c r="F18" s="97" t="s">
        <v>68</v>
      </c>
      <c r="G18" s="97" t="s">
        <v>69</v>
      </c>
      <c r="H18" s="98" t="s">
        <v>3</v>
      </c>
    </row>
    <row r="19" spans="2:8" ht="13" thickBot="1">
      <c r="B19" s="75" t="s">
        <v>72</v>
      </c>
      <c r="C19" s="71">
        <v>0</v>
      </c>
      <c r="D19" s="4">
        <v>0</v>
      </c>
      <c r="E19" s="4">
        <f>D19*C19</f>
        <v>0</v>
      </c>
      <c r="F19" s="11">
        <v>0</v>
      </c>
      <c r="G19" s="11">
        <f>F19*C19</f>
        <v>0</v>
      </c>
      <c r="H19" s="76" t="e">
        <f>F19/D19</f>
        <v>#DIV/0!</v>
      </c>
    </row>
    <row r="20" spans="2:8" ht="13" thickBot="1">
      <c r="B20" s="117" t="s">
        <v>48</v>
      </c>
      <c r="C20" s="118">
        <f>SUM(C19)</f>
        <v>0</v>
      </c>
      <c r="D20" s="119"/>
      <c r="E20" s="119">
        <f>SUM(E19)</f>
        <v>0</v>
      </c>
      <c r="F20" s="120">
        <f>SUM(F19)</f>
        <v>0</v>
      </c>
      <c r="G20" s="120">
        <f>SUM(G19)</f>
        <v>0</v>
      </c>
      <c r="H20" s="128" t="e">
        <f>SUM(H19)</f>
        <v>#DIV/0!</v>
      </c>
    </row>
  </sheetData>
  <sheetProtection password="ED16" sheet="1" objects="1" scenarios="1" selectLockedCells="1"/>
  <mergeCells count="1">
    <mergeCell ref="B2:H2"/>
  </mergeCells>
  <phoneticPr fontId="5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3"/>
  <sheetViews>
    <sheetView topLeftCell="A18" workbookViewId="0">
      <selection activeCell="D22" sqref="D22"/>
    </sheetView>
  </sheetViews>
  <sheetFormatPr baseColWidth="10" defaultColWidth="11.5" defaultRowHeight="12" x14ac:dyDescent="0"/>
  <cols>
    <col min="1" max="1" width="2.6640625" style="19" customWidth="1"/>
    <col min="2" max="2" width="36.1640625" style="19" bestFit="1" customWidth="1"/>
    <col min="3" max="3" width="25.33203125" style="19" bestFit="1" customWidth="1"/>
    <col min="4" max="4" width="17.5" style="1" customWidth="1"/>
    <col min="5" max="5" width="14.6640625" style="19" customWidth="1"/>
    <col min="6" max="6" width="13.6640625" style="19" customWidth="1"/>
    <col min="7" max="7" width="13" style="19" customWidth="1"/>
    <col min="8" max="8" width="12.6640625" style="19" customWidth="1"/>
    <col min="9" max="9" width="15" style="19" bestFit="1" customWidth="1"/>
    <col min="10" max="10" width="14.1640625" style="19" customWidth="1"/>
    <col min="11" max="11" width="12.33203125" style="19" bestFit="1" customWidth="1"/>
    <col min="12" max="12" width="11.5" style="19" customWidth="1"/>
    <col min="13" max="13" width="14" style="19" bestFit="1" customWidth="1"/>
    <col min="14" max="16384" width="11.5" style="19"/>
  </cols>
  <sheetData>
    <row r="1" spans="2:13" ht="13" thickBot="1"/>
    <row r="2" spans="2:13" ht="16" thickBot="1">
      <c r="B2" s="243" t="s">
        <v>65</v>
      </c>
      <c r="C2" s="244"/>
      <c r="D2" s="244"/>
      <c r="E2" s="244"/>
      <c r="F2" s="244"/>
      <c r="G2" s="244"/>
      <c r="H2" s="244"/>
      <c r="I2" s="245"/>
    </row>
    <row r="3" spans="2:13">
      <c r="B3" s="39"/>
      <c r="C3" s="40"/>
      <c r="D3" s="51" t="s">
        <v>41</v>
      </c>
      <c r="E3" s="51">
        <v>2014</v>
      </c>
      <c r="F3" s="51">
        <f>E3+1</f>
        <v>2015</v>
      </c>
      <c r="G3" s="51">
        <f>F3+1</f>
        <v>2016</v>
      </c>
      <c r="H3" s="51">
        <f>G3+1</f>
        <v>2017</v>
      </c>
      <c r="I3" s="52">
        <f>H3+1</f>
        <v>2018</v>
      </c>
    </row>
    <row r="4" spans="2:13">
      <c r="B4" s="41" t="s">
        <v>29</v>
      </c>
      <c r="C4" s="20"/>
      <c r="D4" s="21"/>
      <c r="E4" s="20"/>
      <c r="F4" s="20"/>
      <c r="G4" s="20"/>
      <c r="H4" s="20"/>
      <c r="I4" s="42"/>
    </row>
    <row r="5" spans="2:13">
      <c r="B5" s="41"/>
      <c r="C5" s="20" t="s">
        <v>45</v>
      </c>
      <c r="D5" s="70">
        <f>Rents!C6</f>
        <v>0</v>
      </c>
      <c r="E5" s="22">
        <f>Rents!G6*12</f>
        <v>0</v>
      </c>
      <c r="F5" s="22">
        <f>E5*1.03</f>
        <v>0</v>
      </c>
      <c r="G5" s="22">
        <f>F5*1.03</f>
        <v>0</v>
      </c>
      <c r="H5" s="22">
        <f>G5*1.03</f>
        <v>0</v>
      </c>
      <c r="I5" s="43">
        <f>H5*1.03</f>
        <v>0</v>
      </c>
      <c r="J5" s="23"/>
    </row>
    <row r="6" spans="2:13">
      <c r="B6" s="41"/>
      <c r="C6" s="20" t="s">
        <v>30</v>
      </c>
      <c r="D6" s="70">
        <f>Rents!C14</f>
        <v>7</v>
      </c>
      <c r="E6" s="22">
        <f>Rents!G14*12</f>
        <v>98400</v>
      </c>
      <c r="F6" s="22">
        <f>E6*1.03</f>
        <v>101352</v>
      </c>
      <c r="G6" s="22">
        <f t="shared" ref="G6:I7" si="0">F6*1.03</f>
        <v>104392.56</v>
      </c>
      <c r="H6" s="22">
        <f t="shared" si="0"/>
        <v>107524.3368</v>
      </c>
      <c r="I6" s="43">
        <f t="shared" si="0"/>
        <v>110750.06690400001</v>
      </c>
    </row>
    <row r="7" spans="2:13">
      <c r="B7" s="41"/>
      <c r="C7" s="20" t="s">
        <v>72</v>
      </c>
      <c r="D7" s="70">
        <f>Rents!C20</f>
        <v>0</v>
      </c>
      <c r="E7" s="81">
        <f>Rents!G20*12</f>
        <v>0</v>
      </c>
      <c r="F7" s="81">
        <f>E7*1.03</f>
        <v>0</v>
      </c>
      <c r="G7" s="81">
        <f t="shared" si="0"/>
        <v>0</v>
      </c>
      <c r="H7" s="81">
        <f t="shared" si="0"/>
        <v>0</v>
      </c>
      <c r="I7" s="161">
        <f t="shared" si="0"/>
        <v>0</v>
      </c>
    </row>
    <row r="8" spans="2:13">
      <c r="B8" s="41"/>
      <c r="C8" s="20" t="s">
        <v>14</v>
      </c>
      <c r="D8" s="70"/>
      <c r="E8" s="22">
        <f>SUM(E5:E7)</f>
        <v>98400</v>
      </c>
      <c r="F8" s="22">
        <f>SUM(F5:F7)</f>
        <v>101352</v>
      </c>
      <c r="G8" s="22">
        <f>SUM(G6:G6)</f>
        <v>104392.56</v>
      </c>
      <c r="H8" s="22">
        <f>SUM(H6:H6)</f>
        <v>107524.3368</v>
      </c>
      <c r="I8" s="43">
        <f>SUM(I6:I6)</f>
        <v>110750.06690400001</v>
      </c>
      <c r="J8" s="25"/>
    </row>
    <row r="9" spans="2:13">
      <c r="B9" s="41"/>
      <c r="C9" s="20"/>
      <c r="D9" s="21"/>
      <c r="E9" s="26"/>
      <c r="F9" s="26"/>
      <c r="G9" s="26"/>
      <c r="H9" s="26"/>
      <c r="I9" s="44"/>
      <c r="J9" s="27"/>
    </row>
    <row r="10" spans="2:13">
      <c r="B10" s="41"/>
      <c r="C10" s="20" t="s">
        <v>15</v>
      </c>
      <c r="D10" s="21"/>
      <c r="E10" s="138">
        <v>0.05</v>
      </c>
      <c r="F10" s="138">
        <f>E10</f>
        <v>0.05</v>
      </c>
      <c r="G10" s="32">
        <f>F10</f>
        <v>0.05</v>
      </c>
      <c r="H10" s="32">
        <f>G10</f>
        <v>0.05</v>
      </c>
      <c r="I10" s="45">
        <f>H10</f>
        <v>0.05</v>
      </c>
      <c r="J10" s="23"/>
    </row>
    <row r="11" spans="2:13">
      <c r="B11" s="41"/>
      <c r="C11" s="20" t="s">
        <v>16</v>
      </c>
      <c r="D11" s="21"/>
      <c r="E11" s="87">
        <f>E8*E10</f>
        <v>4920</v>
      </c>
      <c r="F11" s="87">
        <f>F8*F10</f>
        <v>5067.6000000000004</v>
      </c>
      <c r="G11" s="87">
        <f>G8*G10</f>
        <v>5219.6280000000006</v>
      </c>
      <c r="H11" s="87">
        <f>H8*H10</f>
        <v>5376.216840000001</v>
      </c>
      <c r="I11" s="88">
        <f>I8*I10</f>
        <v>5537.5033452000007</v>
      </c>
    </row>
    <row r="12" spans="2:13">
      <c r="B12" s="41" t="s">
        <v>31</v>
      </c>
      <c r="C12" s="20"/>
      <c r="D12" s="21"/>
      <c r="E12" s="28">
        <f>E8-E11</f>
        <v>93480</v>
      </c>
      <c r="F12" s="28">
        <f>F8-F11</f>
        <v>96284.4</v>
      </c>
      <c r="G12" s="28">
        <f>G8-G11</f>
        <v>99172.932000000001</v>
      </c>
      <c r="H12" s="28">
        <f>H8-H11</f>
        <v>102148.11996000001</v>
      </c>
      <c r="I12" s="46">
        <f>I8-I11</f>
        <v>105212.5635588</v>
      </c>
      <c r="J12" s="25"/>
      <c r="K12" s="27"/>
      <c r="M12" s="27"/>
    </row>
    <row r="13" spans="2:13">
      <c r="B13" s="41"/>
      <c r="C13" s="20"/>
      <c r="D13" s="21"/>
      <c r="E13" s="20"/>
      <c r="F13" s="20"/>
      <c r="G13" s="20"/>
      <c r="H13" s="20"/>
      <c r="I13" s="42"/>
      <c r="J13" s="23"/>
    </row>
    <row r="14" spans="2:13">
      <c r="B14" s="41" t="s">
        <v>6</v>
      </c>
      <c r="C14" s="20"/>
      <c r="D14" s="21"/>
      <c r="E14" s="20"/>
      <c r="F14" s="20"/>
      <c r="G14" s="20"/>
      <c r="H14" s="20"/>
      <c r="I14" s="42"/>
      <c r="J14" s="27"/>
    </row>
    <row r="15" spans="2:13">
      <c r="B15" s="41"/>
      <c r="C15" s="19" t="s">
        <v>5</v>
      </c>
      <c r="D15" s="136"/>
      <c r="E15" s="60">
        <f>Capitalization!G24</f>
        <v>4794</v>
      </c>
      <c r="F15" s="28">
        <f t="shared" ref="F15:I16" si="1">E15*1.03</f>
        <v>4937.82</v>
      </c>
      <c r="G15" s="28">
        <f t="shared" si="1"/>
        <v>5085.9546</v>
      </c>
      <c r="H15" s="28">
        <f t="shared" si="1"/>
        <v>5238.533238</v>
      </c>
      <c r="I15" s="46">
        <f t="shared" si="1"/>
        <v>5395.6892351400002</v>
      </c>
      <c r="J15" s="27"/>
      <c r="L15" s="66"/>
      <c r="M15" s="130"/>
    </row>
    <row r="16" spans="2:13">
      <c r="B16" s="41"/>
      <c r="C16" s="19" t="s">
        <v>17</v>
      </c>
      <c r="D16" s="137"/>
      <c r="E16" s="60">
        <f>Capitalization!G17</f>
        <v>7000</v>
      </c>
      <c r="F16" s="28">
        <f>E16*1.03</f>
        <v>7210</v>
      </c>
      <c r="G16" s="28">
        <f t="shared" si="1"/>
        <v>7426.3</v>
      </c>
      <c r="H16" s="28">
        <f t="shared" si="1"/>
        <v>7649.0889999999999</v>
      </c>
      <c r="I16" s="46">
        <f t="shared" si="1"/>
        <v>7878.56167</v>
      </c>
      <c r="J16" s="27"/>
      <c r="L16" s="66"/>
      <c r="M16" s="30"/>
    </row>
    <row r="17" spans="2:13">
      <c r="B17" s="41"/>
      <c r="C17" s="19" t="s">
        <v>20</v>
      </c>
      <c r="D17" s="208">
        <v>500</v>
      </c>
      <c r="E17" s="84">
        <f>D17</f>
        <v>500</v>
      </c>
      <c r="F17" s="28">
        <f t="shared" ref="F17:I31" si="2">E17*1.03</f>
        <v>515</v>
      </c>
      <c r="G17" s="28">
        <f t="shared" si="2"/>
        <v>530.45000000000005</v>
      </c>
      <c r="H17" s="28">
        <f t="shared" si="2"/>
        <v>546.36350000000004</v>
      </c>
      <c r="I17" s="46">
        <f t="shared" si="2"/>
        <v>562.75440500000002</v>
      </c>
      <c r="J17" s="27"/>
      <c r="L17" s="66"/>
      <c r="M17" s="131"/>
    </row>
    <row r="18" spans="2:13">
      <c r="B18" s="41"/>
      <c r="C18" s="19" t="s">
        <v>32</v>
      </c>
      <c r="D18" s="208">
        <v>250</v>
      </c>
      <c r="E18" s="84">
        <f>D18</f>
        <v>250</v>
      </c>
      <c r="F18" s="28">
        <f t="shared" si="2"/>
        <v>257.5</v>
      </c>
      <c r="G18" s="28">
        <f t="shared" si="2"/>
        <v>265.22500000000002</v>
      </c>
      <c r="H18" s="28">
        <f t="shared" si="2"/>
        <v>273.18175000000002</v>
      </c>
      <c r="I18" s="46">
        <f t="shared" si="2"/>
        <v>281.37720250000001</v>
      </c>
      <c r="J18" s="27"/>
      <c r="L18" s="66"/>
      <c r="M18" s="131"/>
    </row>
    <row r="19" spans="2:13">
      <c r="B19" s="41"/>
      <c r="C19" s="19" t="s">
        <v>33</v>
      </c>
      <c r="D19" s="208">
        <v>0</v>
      </c>
      <c r="E19" s="60">
        <f>D19</f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  <c r="I19" s="46">
        <f t="shared" si="2"/>
        <v>0</v>
      </c>
      <c r="J19" s="27"/>
      <c r="L19" s="66"/>
      <c r="M19" s="131"/>
    </row>
    <row r="20" spans="2:13">
      <c r="B20" s="41"/>
      <c r="C20" s="19" t="s">
        <v>34</v>
      </c>
      <c r="D20" s="208">
        <v>50</v>
      </c>
      <c r="E20" s="84">
        <f>D20*12</f>
        <v>600</v>
      </c>
      <c r="F20" s="28">
        <f t="shared" si="2"/>
        <v>618</v>
      </c>
      <c r="G20" s="28">
        <f t="shared" si="2"/>
        <v>636.54</v>
      </c>
      <c r="H20" s="28">
        <f t="shared" si="2"/>
        <v>655.63620000000003</v>
      </c>
      <c r="I20" s="46">
        <f t="shared" si="2"/>
        <v>675.30528600000002</v>
      </c>
      <c r="J20" s="27"/>
      <c r="L20" s="66"/>
      <c r="M20" s="132"/>
    </row>
    <row r="21" spans="2:13">
      <c r="B21" s="41"/>
      <c r="C21" s="19" t="s">
        <v>35</v>
      </c>
      <c r="D21" s="210">
        <v>25</v>
      </c>
      <c r="E21" s="60">
        <f>D21*12</f>
        <v>300</v>
      </c>
      <c r="F21" s="28">
        <f t="shared" si="2"/>
        <v>309</v>
      </c>
      <c r="G21" s="28">
        <f t="shared" si="2"/>
        <v>318.27</v>
      </c>
      <c r="H21" s="28">
        <f t="shared" si="2"/>
        <v>327.81810000000002</v>
      </c>
      <c r="I21" s="46">
        <f t="shared" si="2"/>
        <v>337.65264300000001</v>
      </c>
      <c r="L21" s="66"/>
      <c r="M21" s="132"/>
    </row>
    <row r="22" spans="2:13">
      <c r="B22" s="41"/>
      <c r="C22" s="66" t="s">
        <v>73</v>
      </c>
      <c r="D22" s="208">
        <v>0</v>
      </c>
      <c r="E22" s="60">
        <f>D22*12</f>
        <v>0</v>
      </c>
      <c r="F22" s="28">
        <f t="shared" si="2"/>
        <v>0</v>
      </c>
      <c r="G22" s="28">
        <f t="shared" si="2"/>
        <v>0</v>
      </c>
      <c r="H22" s="28">
        <f t="shared" si="2"/>
        <v>0</v>
      </c>
      <c r="I22" s="46">
        <f t="shared" si="2"/>
        <v>0</v>
      </c>
      <c r="L22" s="66"/>
      <c r="M22" s="132"/>
    </row>
    <row r="23" spans="2:13">
      <c r="B23" s="41"/>
      <c r="C23" s="72" t="s">
        <v>74</v>
      </c>
      <c r="D23" s="208">
        <v>0</v>
      </c>
      <c r="E23" s="60">
        <f>D23</f>
        <v>0</v>
      </c>
      <c r="F23" s="28">
        <f>E23*1.03</f>
        <v>0</v>
      </c>
      <c r="G23" s="28">
        <f>F23*1.03</f>
        <v>0</v>
      </c>
      <c r="H23" s="28">
        <f>G23*1.03</f>
        <v>0</v>
      </c>
      <c r="I23" s="46">
        <f>H23*1.03</f>
        <v>0</v>
      </c>
      <c r="J23" s="66"/>
      <c r="L23" s="66"/>
      <c r="M23" s="132"/>
    </row>
    <row r="24" spans="2:13">
      <c r="B24" s="41"/>
      <c r="C24" s="19" t="s">
        <v>36</v>
      </c>
      <c r="D24" s="208">
        <v>100</v>
      </c>
      <c r="E24" s="84">
        <f>D24*12</f>
        <v>1200</v>
      </c>
      <c r="F24" s="28">
        <f t="shared" si="2"/>
        <v>1236</v>
      </c>
      <c r="G24" s="28">
        <f t="shared" si="2"/>
        <v>1273.08</v>
      </c>
      <c r="H24" s="28">
        <f t="shared" si="2"/>
        <v>1311.2724000000001</v>
      </c>
      <c r="I24" s="46">
        <f t="shared" si="2"/>
        <v>1350.610572</v>
      </c>
      <c r="L24" s="72"/>
      <c r="M24" s="132"/>
    </row>
    <row r="25" spans="2:13">
      <c r="B25" s="41"/>
      <c r="C25" s="72" t="s">
        <v>100</v>
      </c>
      <c r="D25" s="209">
        <v>1000</v>
      </c>
      <c r="E25" s="84">
        <f>D25</f>
        <v>1000</v>
      </c>
      <c r="F25" s="28">
        <f>E25*1.03</f>
        <v>1030</v>
      </c>
      <c r="G25" s="28">
        <f>F25*1.03</f>
        <v>1060.9000000000001</v>
      </c>
      <c r="H25" s="28">
        <f>G25*1.03</f>
        <v>1092.7270000000001</v>
      </c>
      <c r="I25" s="46">
        <f>H25*1.03</f>
        <v>1125.50881</v>
      </c>
      <c r="L25" s="72"/>
      <c r="M25" s="132"/>
    </row>
    <row r="26" spans="2:13">
      <c r="B26" s="41"/>
      <c r="C26" s="19" t="s">
        <v>25</v>
      </c>
      <c r="D26" s="208">
        <v>0</v>
      </c>
      <c r="E26" s="84">
        <f>D26</f>
        <v>0</v>
      </c>
      <c r="F26" s="28">
        <f t="shared" si="2"/>
        <v>0</v>
      </c>
      <c r="G26" s="28">
        <f t="shared" si="2"/>
        <v>0</v>
      </c>
      <c r="H26" s="28">
        <f t="shared" si="2"/>
        <v>0</v>
      </c>
      <c r="I26" s="46">
        <f t="shared" si="2"/>
        <v>0</v>
      </c>
      <c r="L26" s="66"/>
      <c r="M26" s="132"/>
    </row>
    <row r="27" spans="2:13">
      <c r="B27" s="41"/>
      <c r="C27" s="66" t="s">
        <v>75</v>
      </c>
      <c r="D27" s="212">
        <v>50</v>
      </c>
      <c r="E27" s="84">
        <f>D27*(D6+D7)</f>
        <v>350</v>
      </c>
      <c r="F27" s="28">
        <f>E27*0.5</f>
        <v>175</v>
      </c>
      <c r="G27" s="28">
        <f t="shared" si="2"/>
        <v>180.25</v>
      </c>
      <c r="H27" s="28">
        <f t="shared" si="2"/>
        <v>185.6575</v>
      </c>
      <c r="I27" s="46">
        <f t="shared" si="2"/>
        <v>191.227225</v>
      </c>
      <c r="L27" s="72"/>
      <c r="M27" s="132"/>
    </row>
    <row r="28" spans="2:13">
      <c r="B28" s="41"/>
      <c r="C28" s="72" t="s">
        <v>109</v>
      </c>
      <c r="D28" s="208">
        <v>350</v>
      </c>
      <c r="E28" s="84">
        <f>D28*D6</f>
        <v>2450</v>
      </c>
      <c r="F28" s="28">
        <f>E28*0.5</f>
        <v>1225</v>
      </c>
      <c r="G28" s="28">
        <f t="shared" si="2"/>
        <v>1261.75</v>
      </c>
      <c r="H28" s="28">
        <f t="shared" si="2"/>
        <v>1299.6025</v>
      </c>
      <c r="I28" s="46">
        <f t="shared" si="2"/>
        <v>1338.5905749999999</v>
      </c>
      <c r="J28" s="27"/>
      <c r="K28" s="27"/>
      <c r="L28" s="72"/>
      <c r="M28" s="132"/>
    </row>
    <row r="29" spans="2:13">
      <c r="B29" s="41"/>
      <c r="C29" s="66" t="s">
        <v>110</v>
      </c>
      <c r="D29" s="209">
        <v>450</v>
      </c>
      <c r="E29" s="60">
        <f>D29*(D6/2)</f>
        <v>1575</v>
      </c>
      <c r="F29" s="28">
        <f t="shared" si="2"/>
        <v>1622.25</v>
      </c>
      <c r="G29" s="28">
        <f t="shared" si="2"/>
        <v>1670.9175</v>
      </c>
      <c r="H29" s="28">
        <f t="shared" si="2"/>
        <v>1721.0450250000001</v>
      </c>
      <c r="I29" s="46">
        <f t="shared" si="2"/>
        <v>1772.6763757500003</v>
      </c>
      <c r="J29" s="160"/>
      <c r="K29" s="160"/>
      <c r="L29" s="72"/>
      <c r="M29" s="132"/>
    </row>
    <row r="30" spans="2:13">
      <c r="B30" s="41"/>
      <c r="C30" s="66" t="s">
        <v>76</v>
      </c>
      <c r="D30" s="208">
        <v>50</v>
      </c>
      <c r="E30" s="84">
        <f>D30*12</f>
        <v>600</v>
      </c>
      <c r="F30" s="28">
        <f t="shared" si="2"/>
        <v>618</v>
      </c>
      <c r="G30" s="28">
        <f t="shared" si="2"/>
        <v>636.54</v>
      </c>
      <c r="H30" s="28">
        <f t="shared" si="2"/>
        <v>655.63620000000003</v>
      </c>
      <c r="I30" s="46">
        <f t="shared" si="2"/>
        <v>675.30528600000002</v>
      </c>
      <c r="L30" s="72"/>
      <c r="M30" s="132"/>
    </row>
    <row r="31" spans="2:13">
      <c r="B31" s="41"/>
      <c r="C31" s="66" t="s">
        <v>46</v>
      </c>
      <c r="D31" s="211">
        <v>0.5</v>
      </c>
      <c r="E31" s="77">
        <f>E8/12*D31</f>
        <v>4100</v>
      </c>
      <c r="F31" s="28">
        <f t="shared" si="2"/>
        <v>4223</v>
      </c>
      <c r="G31" s="28">
        <f t="shared" si="2"/>
        <v>4349.6900000000005</v>
      </c>
      <c r="H31" s="28">
        <f t="shared" si="2"/>
        <v>4480.1807000000008</v>
      </c>
      <c r="I31" s="46">
        <f t="shared" si="2"/>
        <v>4614.5861210000012</v>
      </c>
      <c r="L31" s="72"/>
      <c r="M31" s="132"/>
    </row>
    <row r="32" spans="2:13">
      <c r="B32" s="41"/>
      <c r="C32" s="37" t="s">
        <v>40</v>
      </c>
      <c r="D32" s="209">
        <v>250</v>
      </c>
      <c r="E32" s="29">
        <f>$D$32*$D$6</f>
        <v>1750</v>
      </c>
      <c r="F32" s="29">
        <f>$D$32*$D$6</f>
        <v>1750</v>
      </c>
      <c r="G32" s="29">
        <f>$D$32*$D$6</f>
        <v>1750</v>
      </c>
      <c r="H32" s="29">
        <f>$D$32*$D$6</f>
        <v>1750</v>
      </c>
      <c r="I32" s="47">
        <f>$D$32*$D$6</f>
        <v>1750</v>
      </c>
      <c r="K32" s="60"/>
      <c r="L32" s="66"/>
      <c r="M32" s="132"/>
    </row>
    <row r="33" spans="2:13">
      <c r="B33" s="41"/>
      <c r="C33" s="72" t="s">
        <v>102</v>
      </c>
      <c r="D33" s="136"/>
      <c r="E33" s="29"/>
      <c r="F33" s="29"/>
      <c r="G33" s="29"/>
      <c r="H33" s="29"/>
      <c r="I33" s="47"/>
      <c r="K33" s="60"/>
      <c r="L33" s="66"/>
      <c r="M33" s="132"/>
    </row>
    <row r="34" spans="2:13">
      <c r="B34" s="41"/>
      <c r="C34" s="19" t="s">
        <v>4</v>
      </c>
      <c r="D34" s="213">
        <v>0.05</v>
      </c>
      <c r="E34" s="89">
        <f>E12*D34</f>
        <v>4674</v>
      </c>
      <c r="F34" s="87">
        <f>D34*F12</f>
        <v>4814.22</v>
      </c>
      <c r="G34" s="87">
        <f>D34*G12</f>
        <v>4958.6466</v>
      </c>
      <c r="H34" s="87">
        <f>D34*H12</f>
        <v>5107.4059980000011</v>
      </c>
      <c r="I34" s="88">
        <f>D34*I12</f>
        <v>5260.6281779400006</v>
      </c>
      <c r="L34" s="72"/>
      <c r="M34" s="131"/>
    </row>
    <row r="35" spans="2:13">
      <c r="B35" s="41" t="s">
        <v>37</v>
      </c>
      <c r="C35" s="20"/>
      <c r="D35" s="21"/>
      <c r="E35" s="28">
        <f>SUM(E15:E34)</f>
        <v>31143</v>
      </c>
      <c r="F35" s="28">
        <f>SUM(F15:F34)</f>
        <v>30540.79</v>
      </c>
      <c r="G35" s="28">
        <f>SUM(G15:G34)</f>
        <v>31404.513700000003</v>
      </c>
      <c r="H35" s="28">
        <f>SUM(H15:H34)</f>
        <v>32294.149111000006</v>
      </c>
      <c r="I35" s="46">
        <f>SUM(I15:I34)</f>
        <v>33210.47358433</v>
      </c>
      <c r="L35" s="72"/>
      <c r="M35" s="133"/>
    </row>
    <row r="36" spans="2:13" ht="13" thickBot="1">
      <c r="B36" s="41"/>
      <c r="C36" s="20"/>
      <c r="D36" s="129">
        <f>E35/E12</f>
        <v>0.33315147625160463</v>
      </c>
      <c r="E36" s="33"/>
      <c r="F36" s="33"/>
      <c r="G36" s="33"/>
      <c r="H36" s="33"/>
      <c r="I36" s="48"/>
      <c r="L36" s="72"/>
      <c r="M36" s="130"/>
    </row>
    <row r="37" spans="2:13" ht="13" thickBot="1">
      <c r="B37" s="41" t="s">
        <v>7</v>
      </c>
      <c r="C37" s="20"/>
      <c r="D37" s="215">
        <f>E37/Capitalization!D19</f>
        <v>890528.57142857136</v>
      </c>
      <c r="E37" s="22">
        <f>E12-E35</f>
        <v>62337</v>
      </c>
      <c r="F37" s="22">
        <f>F12-F35</f>
        <v>65743.609999999986</v>
      </c>
      <c r="G37" s="22">
        <f>G12-G35</f>
        <v>67768.41829999999</v>
      </c>
      <c r="H37" s="22">
        <f>H12-H35</f>
        <v>69853.970849000005</v>
      </c>
      <c r="I37" s="43">
        <f>I12-I35</f>
        <v>72002.08997447</v>
      </c>
      <c r="L37" s="66"/>
      <c r="M37" s="134"/>
    </row>
    <row r="38" spans="2:13">
      <c r="B38" s="49" t="s">
        <v>57</v>
      </c>
      <c r="E38" s="35">
        <f>E37/(Capitalization!$D$11-Capitalization!$D$29)</f>
        <v>7.4338246858074081E-2</v>
      </c>
      <c r="F38" s="35">
        <f>F37/(Capitalization!$D$11-Capitalization!$D$29)</f>
        <v>7.8400704389382667E-2</v>
      </c>
      <c r="G38" s="35">
        <f>G37/(Capitalization!$D$11-Capitalization!$D$29)</f>
        <v>8.0815332928543634E-2</v>
      </c>
      <c r="H38" s="35">
        <f>H37/(Capitalization!$D$11-Capitalization!$D$29)</f>
        <v>8.330240032387945E-2</v>
      </c>
      <c r="I38" s="50">
        <f>I37/(Capitalization!$D$11-Capitalization!$D$29)</f>
        <v>8.5864079741075322E-2</v>
      </c>
      <c r="L38" s="66"/>
      <c r="M38" s="135"/>
    </row>
    <row r="39" spans="2:13">
      <c r="B39" s="49"/>
      <c r="E39" s="29"/>
      <c r="F39" s="86"/>
      <c r="G39" s="35"/>
      <c r="H39" s="35"/>
      <c r="I39" s="50"/>
    </row>
    <row r="40" spans="2:13">
      <c r="B40" s="49" t="s">
        <v>38</v>
      </c>
      <c r="E40" s="29">
        <f>Capitalization!D6*Capitalization!D16</f>
        <v>38610.323122415219</v>
      </c>
      <c r="F40" s="29">
        <f>Capitalization!D16*Capitalization!D6</f>
        <v>38610.323122415219</v>
      </c>
      <c r="G40" s="29">
        <f>F40</f>
        <v>38610.323122415219</v>
      </c>
      <c r="H40" s="29">
        <f>G40</f>
        <v>38610.323122415219</v>
      </c>
      <c r="I40" s="47">
        <f>H40</f>
        <v>38610.323122415219</v>
      </c>
    </row>
    <row r="41" spans="2:13">
      <c r="B41" s="49" t="s">
        <v>44</v>
      </c>
      <c r="E41" s="53">
        <f>E37/E40</f>
        <v>1.61451640283762</v>
      </c>
      <c r="F41" s="53">
        <f>F37/F40</f>
        <v>1.7027469516781262</v>
      </c>
      <c r="G41" s="53">
        <f>G37/G40</f>
        <v>1.7551891002087223</v>
      </c>
      <c r="H41" s="53">
        <f>H37/H40</f>
        <v>1.8092045131952363</v>
      </c>
      <c r="I41" s="54">
        <f>I37/I40</f>
        <v>1.8648403885713454</v>
      </c>
    </row>
    <row r="42" spans="2:13">
      <c r="B42" s="49"/>
      <c r="E42" s="34"/>
      <c r="F42" s="29"/>
      <c r="G42" s="29"/>
      <c r="H42" s="29"/>
      <c r="I42" s="47"/>
    </row>
    <row r="43" spans="2:13" ht="13" thickBot="1">
      <c r="B43" s="49" t="s">
        <v>39</v>
      </c>
      <c r="E43" s="29">
        <f>E37-E40</f>
        <v>23726.676877584781</v>
      </c>
      <c r="F43" s="29">
        <f>F37-F40</f>
        <v>27133.286877584767</v>
      </c>
      <c r="G43" s="29">
        <f>G37-G40</f>
        <v>29158.095177584772</v>
      </c>
      <c r="H43" s="29">
        <f>H37-H40</f>
        <v>31243.647726584786</v>
      </c>
      <c r="I43" s="47">
        <f>I37-I40</f>
        <v>33391.766852054781</v>
      </c>
    </row>
    <row r="44" spans="2:13" ht="13" thickBot="1">
      <c r="B44" s="49"/>
      <c r="C44" s="3" t="s">
        <v>101</v>
      </c>
      <c r="E44" s="214">
        <f>E43/Capitalization!D5</f>
        <v>0.11317833033852016</v>
      </c>
      <c r="F44" s="29"/>
      <c r="G44" s="29"/>
      <c r="H44" s="29"/>
      <c r="I44" s="47"/>
    </row>
    <row r="45" spans="2:13">
      <c r="B45" s="49" t="s">
        <v>54</v>
      </c>
      <c r="C45" s="31"/>
      <c r="D45" s="24"/>
      <c r="E45" s="29"/>
      <c r="F45" s="92"/>
      <c r="G45" s="29"/>
      <c r="H45" s="29"/>
      <c r="I45" s="47">
        <f>(H37/Capitalization!D19)*(1-Capitalization!D20)-(Capitalization!D6*0.9)</f>
        <v>381990.850807857</v>
      </c>
    </row>
    <row r="46" spans="2:13">
      <c r="B46" s="49"/>
      <c r="C46" s="31"/>
      <c r="D46" s="24"/>
      <c r="E46" s="29"/>
      <c r="F46" s="29"/>
      <c r="G46" s="29"/>
      <c r="H46" s="29"/>
      <c r="I46" s="47"/>
    </row>
    <row r="47" spans="2:13" ht="13" thickBot="1">
      <c r="B47" s="49" t="s">
        <v>55</v>
      </c>
      <c r="D47" s="216">
        <f>-Capitalization!D5</f>
        <v>-209639.75</v>
      </c>
      <c r="E47" s="29">
        <f>E43+E45</f>
        <v>23726.676877584781</v>
      </c>
      <c r="F47" s="29">
        <f>F43+F45</f>
        <v>27133.286877584767</v>
      </c>
      <c r="G47" s="29">
        <f>G43+G45</f>
        <v>29158.095177584772</v>
      </c>
      <c r="H47" s="29">
        <f>H43+H45</f>
        <v>31243.647726584786</v>
      </c>
      <c r="I47" s="47">
        <f>I43+I45</f>
        <v>415382.6176599118</v>
      </c>
    </row>
    <row r="48" spans="2:13" ht="13" thickBot="1">
      <c r="B48" s="49" t="s">
        <v>130</v>
      </c>
      <c r="D48" s="217">
        <f>IRR(D47:I47)</f>
        <v>0.2362043015907811</v>
      </c>
      <c r="E48" s="36"/>
      <c r="F48" s="36"/>
      <c r="G48" s="36"/>
      <c r="H48" s="36"/>
      <c r="I48" s="91"/>
    </row>
    <row r="49" spans="2:9" ht="13" thickBot="1">
      <c r="B49" s="55"/>
      <c r="C49" s="56"/>
      <c r="D49" s="57"/>
      <c r="E49" s="56"/>
      <c r="F49" s="56"/>
      <c r="G49" s="56"/>
      <c r="H49" s="56"/>
      <c r="I49" s="58"/>
    </row>
    <row r="51" spans="2:9">
      <c r="D51" s="19"/>
    </row>
    <row r="52" spans="2:9">
      <c r="B52" s="66" t="s">
        <v>121</v>
      </c>
      <c r="C52" s="37"/>
      <c r="D52" s="218"/>
    </row>
    <row r="53" spans="2:9">
      <c r="B53" s="66" t="s">
        <v>122</v>
      </c>
      <c r="C53" s="37"/>
      <c r="D53" s="219">
        <f>E37/Capitalization!D19</f>
        <v>890528.57142857136</v>
      </c>
    </row>
    <row r="54" spans="2:9">
      <c r="B54" s="72" t="s">
        <v>123</v>
      </c>
      <c r="C54" s="220">
        <v>0.75</v>
      </c>
      <c r="D54" s="218"/>
    </row>
    <row r="55" spans="2:9">
      <c r="B55" s="72" t="s">
        <v>132</v>
      </c>
      <c r="C55" s="37"/>
      <c r="D55" s="221">
        <f>D53*C54</f>
        <v>667896.42857142852</v>
      </c>
    </row>
    <row r="56" spans="2:9">
      <c r="C56" s="37"/>
      <c r="D56" s="218"/>
    </row>
    <row r="57" spans="2:9">
      <c r="B57" s="72" t="s">
        <v>125</v>
      </c>
      <c r="C57" s="220">
        <v>1.35</v>
      </c>
      <c r="D57" s="218"/>
    </row>
    <row r="58" spans="2:9">
      <c r="C58" s="37"/>
      <c r="D58" s="221">
        <f>E37/1.35</f>
        <v>46175.555555555555</v>
      </c>
    </row>
    <row r="59" spans="2:9">
      <c r="B59" s="72" t="s">
        <v>131</v>
      </c>
      <c r="C59" s="37"/>
      <c r="D59" s="221">
        <f>D58/Capitalization!D16</f>
        <v>752148.47791506199</v>
      </c>
    </row>
    <row r="60" spans="2:9">
      <c r="C60" s="37"/>
      <c r="D60" s="218"/>
    </row>
    <row r="61" spans="2:9" ht="13" thickBot="1">
      <c r="C61" s="37"/>
      <c r="D61" s="218"/>
    </row>
    <row r="62" spans="2:9" ht="13" thickBot="1">
      <c r="B62" s="223" t="s">
        <v>124</v>
      </c>
      <c r="C62" s="37"/>
      <c r="D62" s="222">
        <f>IF(D55&gt;D59,D55,D59)</f>
        <v>752148.47791506199</v>
      </c>
    </row>
    <row r="63" spans="2:9">
      <c r="C63" s="37"/>
      <c r="D63" s="218"/>
    </row>
  </sheetData>
  <sheetProtection password="ED16" sheet="1" objects="1" scenarios="1" selectLockedCells="1"/>
  <mergeCells count="1">
    <mergeCell ref="B2:I2"/>
  </mergeCells>
  <phoneticPr fontId="5" type="noConversion"/>
  <pageMargins left="0.75" right="0.75" top="1" bottom="1" header="0.5" footer="0.5"/>
  <pageSetup scale="74" orientation="portrait"/>
  <headerFooter alignWithMargins="0"/>
  <ignoredErrors>
    <ignoredError sqref="F27 F17:F18 G17:G18 H17:H18 E32:I32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Capitalization</vt:lpstr>
      <vt:lpstr>Construction Budget</vt:lpstr>
      <vt:lpstr>Rents</vt:lpstr>
      <vt:lpstr>Pro Forma</vt:lpstr>
    </vt:vector>
  </TitlesOfParts>
  <Company>806 Capital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Matt King</cp:lastModifiedBy>
  <cp:lastPrinted>2012-10-10T18:22:23Z</cp:lastPrinted>
  <dcterms:created xsi:type="dcterms:W3CDTF">2010-05-05T13:23:20Z</dcterms:created>
  <dcterms:modified xsi:type="dcterms:W3CDTF">2015-04-25T17:38:03Z</dcterms:modified>
</cp:coreProperties>
</file>